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2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3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4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Mon Drive\PROFESSIONNEL\CERPEG-activites\0-publication-rentree2022\1-catherine\cointermaths\"/>
    </mc:Choice>
  </mc:AlternateContent>
  <xr:revisionPtr revIDLastSave="0" documentId="13_ncr:1_{DD64924D-24F1-4EDA-868D-59F1B5F2FBE1}" xr6:coauthVersionLast="47" xr6:coauthVersionMax="47" xr10:uidLastSave="{00000000-0000-0000-0000-000000000000}"/>
  <bookViews>
    <workbookView xWindow="-108" yWindow="-108" windowWidth="23256" windowHeight="12456" tabRatio="829" xr2:uid="{505E6CF9-59EB-4F1D-865E-73508F5C121B}"/>
  </bookViews>
  <sheets>
    <sheet name="tableau de bord" sheetId="1" r:id="rId1"/>
    <sheet name="Répartition H F" sheetId="2" r:id="rId2"/>
    <sheet name="Qualification Métiers Services" sheetId="5" r:id="rId3"/>
    <sheet name="Contrats  statuts" sheetId="6" r:id="rId4"/>
    <sheet name="accident du travail" sheetId="8" r:id="rId5"/>
    <sheet name="salaires CA" sheetId="7" r:id="rId6"/>
    <sheet name="comparaison prime 13ieme mois " sheetId="9" r:id="rId7"/>
  </sheets>
  <definedNames>
    <definedName name="_xlchart.v1.4" hidden="1">'tableau de bord'!$O$61:$O$63</definedName>
    <definedName name="_xlchart.v1.5" hidden="1">'tableau de bord'!$P$61:$P$63</definedName>
    <definedName name="_xlchart.v1.6" hidden="1">'tableau de bord'!$L$59:$L$60</definedName>
    <definedName name="_xlchart.v1.7" hidden="1">'tableau de bord'!$M$59:$M$60</definedName>
    <definedName name="_xlchart.v2.0" hidden="1">'tableau de bord'!$S$60:$S$65</definedName>
    <definedName name="_xlchart.v2.1" hidden="1">'tableau de bord'!$T$60:$T$65</definedName>
    <definedName name="_xlchart.v2.2" hidden="1">'tableau de bord'!$U$60:$U$67</definedName>
    <definedName name="_xlchart.v2.3" hidden="1">'tableau de bord'!$V$60:$V$67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9" l="1"/>
  <c r="E5" i="9"/>
  <c r="F5" i="9" s="1"/>
  <c r="E6" i="9"/>
  <c r="F6" i="9" s="1"/>
  <c r="E7" i="9"/>
  <c r="F7" i="9" s="1"/>
  <c r="E8" i="9"/>
  <c r="F8" i="9" s="1"/>
  <c r="E9" i="9"/>
  <c r="F9" i="9" s="1"/>
  <c r="E10" i="9"/>
  <c r="F10" i="9" s="1"/>
  <c r="E11" i="9"/>
  <c r="F11" i="9" s="1"/>
  <c r="E12" i="9"/>
  <c r="F12" i="9" s="1"/>
  <c r="F4" i="9"/>
  <c r="V58" i="1"/>
  <c r="W58" i="1"/>
  <c r="Z58" i="1"/>
  <c r="Y58" i="1"/>
  <c r="S76" i="1"/>
  <c r="S75" i="1"/>
  <c r="S74" i="1"/>
  <c r="S73" i="1"/>
  <c r="M60" i="1"/>
  <c r="P63" i="1"/>
  <c r="P62" i="1"/>
  <c r="P61" i="1"/>
  <c r="N69" i="1"/>
  <c r="N70" i="1"/>
  <c r="N66" i="1"/>
  <c r="N63" i="1"/>
  <c r="N64" i="1"/>
  <c r="N62" i="1"/>
  <c r="N61" i="1"/>
  <c r="M59" i="1"/>
  <c r="V69" i="1"/>
  <c r="T66" i="1"/>
  <c r="T64" i="1"/>
  <c r="T63" i="1"/>
  <c r="T62" i="1"/>
  <c r="V64" i="1"/>
  <c r="V67" i="1"/>
  <c r="V65" i="1"/>
  <c r="V66" i="1"/>
  <c r="V62" i="1"/>
  <c r="V61" i="1"/>
  <c r="V63" i="1"/>
  <c r="T59" i="1"/>
  <c r="T61" i="1"/>
  <c r="T60" i="1"/>
  <c r="R65" i="1"/>
  <c r="R64" i="1"/>
  <c r="R63" i="1"/>
  <c r="R62" i="1"/>
  <c r="R61" i="1"/>
  <c r="R60" i="1"/>
  <c r="L9" i="1"/>
  <c r="L10" i="1"/>
  <c r="L11" i="1"/>
  <c r="L12" i="1"/>
  <c r="L14" i="1"/>
  <c r="L16" i="1"/>
  <c r="L17" i="1"/>
  <c r="L18" i="1"/>
  <c r="L21" i="1"/>
  <c r="L22" i="1"/>
  <c r="L23" i="1"/>
  <c r="L25" i="1"/>
  <c r="L26" i="1"/>
  <c r="L27" i="1"/>
  <c r="L28" i="1"/>
  <c r="L30" i="1"/>
  <c r="L31" i="1"/>
  <c r="L32" i="1"/>
  <c r="L33" i="1"/>
  <c r="L34" i="1"/>
  <c r="L35" i="1"/>
  <c r="L37" i="1"/>
  <c r="L38" i="1"/>
  <c r="L39" i="1"/>
  <c r="L40" i="1"/>
  <c r="L41" i="1"/>
  <c r="L43" i="1"/>
  <c r="L44" i="1"/>
  <c r="L45" i="1"/>
  <c r="L46" i="1"/>
  <c r="L47" i="1"/>
  <c r="L48" i="1"/>
  <c r="L50" i="1"/>
  <c r="L51" i="1"/>
  <c r="L52" i="1"/>
  <c r="L53" i="1"/>
  <c r="L54" i="1"/>
  <c r="L55" i="1"/>
  <c r="L57" i="1"/>
  <c r="L8" i="1"/>
  <c r="AF57" i="1"/>
  <c r="E57" i="1"/>
  <c r="AY57" i="1" s="1"/>
  <c r="AF56" i="1"/>
  <c r="AC56" i="1"/>
  <c r="E56" i="1"/>
  <c r="AW56" i="1" s="1"/>
  <c r="AF55" i="1"/>
  <c r="E55" i="1"/>
  <c r="AU55" i="1" s="1"/>
  <c r="AE54" i="1"/>
  <c r="E54" i="1"/>
  <c r="AZ54" i="1" s="1"/>
  <c r="AE53" i="1"/>
  <c r="E53" i="1"/>
  <c r="AX53" i="1" s="1"/>
  <c r="AF52" i="1"/>
  <c r="E52" i="1"/>
  <c r="AV52" i="1" s="1"/>
  <c r="AF51" i="1"/>
  <c r="E51" i="1"/>
  <c r="AT51" i="1" s="1"/>
  <c r="AE50" i="1"/>
  <c r="E50" i="1"/>
  <c r="AZ50" i="1" s="1"/>
  <c r="AE49" i="1"/>
  <c r="AC49" i="1"/>
  <c r="E49" i="1"/>
  <c r="AX49" i="1" s="1"/>
  <c r="AE48" i="1"/>
  <c r="E48" i="1"/>
  <c r="AV48" i="1" s="1"/>
  <c r="AE47" i="1"/>
  <c r="E47" i="1"/>
  <c r="AT47" i="1" s="1"/>
  <c r="AX46" i="1"/>
  <c r="AF46" i="1"/>
  <c r="E46" i="1"/>
  <c r="AZ46" i="1" s="1"/>
  <c r="AF45" i="1"/>
  <c r="E45" i="1"/>
  <c r="BA45" i="1" s="1"/>
  <c r="AF44" i="1"/>
  <c r="E44" i="1"/>
  <c r="AW44" i="1" s="1"/>
  <c r="AF43" i="1"/>
  <c r="E43" i="1"/>
  <c r="BA43" i="1" s="1"/>
  <c r="AF42" i="1"/>
  <c r="AC42" i="1"/>
  <c r="E42" i="1"/>
  <c r="AZ42" i="1" s="1"/>
  <c r="AF41" i="1"/>
  <c r="E41" i="1"/>
  <c r="AZ41" i="1" s="1"/>
  <c r="AE40" i="1"/>
  <c r="E40" i="1"/>
  <c r="AQ40" i="1" s="1"/>
  <c r="AE39" i="1"/>
  <c r="E39" i="1"/>
  <c r="AW39" i="1" s="1"/>
  <c r="AF38" i="1"/>
  <c r="E38" i="1"/>
  <c r="AZ38" i="1" s="1"/>
  <c r="AF37" i="1"/>
  <c r="E37" i="1"/>
  <c r="AZ37" i="1" s="1"/>
  <c r="AE36" i="1"/>
  <c r="AC36" i="1"/>
  <c r="E36" i="1"/>
  <c r="AW36" i="1" s="1"/>
  <c r="AE35" i="1"/>
  <c r="E35" i="1"/>
  <c r="AR35" i="1" s="1"/>
  <c r="AF34" i="1"/>
  <c r="E34" i="1"/>
  <c r="AQ34" i="1" s="1"/>
  <c r="AE33" i="1"/>
  <c r="E33" i="1"/>
  <c r="AZ33" i="1" s="1"/>
  <c r="AE32" i="1"/>
  <c r="E32" i="1"/>
  <c r="AU32" i="1" s="1"/>
  <c r="AE31" i="1"/>
  <c r="E31" i="1"/>
  <c r="AK31" i="1" s="1"/>
  <c r="AE30" i="1"/>
  <c r="E30" i="1"/>
  <c r="AY30" i="1" s="1"/>
  <c r="AF29" i="1"/>
  <c r="AC29" i="1"/>
  <c r="E29" i="1"/>
  <c r="AZ29" i="1" s="1"/>
  <c r="AF28" i="1"/>
  <c r="E28" i="1"/>
  <c r="AW28" i="1" s="1"/>
  <c r="AF27" i="1"/>
  <c r="E27" i="1"/>
  <c r="AJ27" i="1" s="1"/>
  <c r="AE26" i="1"/>
  <c r="E26" i="1"/>
  <c r="AI26" i="1" s="1"/>
  <c r="AG25" i="1"/>
  <c r="AE25" i="1"/>
  <c r="E25" i="1"/>
  <c r="AU25" i="1" s="1"/>
  <c r="AF24" i="1"/>
  <c r="AC24" i="1"/>
  <c r="E24" i="1"/>
  <c r="AN24" i="1" s="1"/>
  <c r="AV23" i="1"/>
  <c r="AG23" i="1"/>
  <c r="AE23" i="1"/>
  <c r="E23" i="1"/>
  <c r="BA23" i="1" s="1"/>
  <c r="AE22" i="1"/>
  <c r="E22" i="1"/>
  <c r="AZ22" i="1" s="1"/>
  <c r="AE21" i="1"/>
  <c r="E21" i="1"/>
  <c r="BA21" i="1" s="1"/>
  <c r="AE20" i="1"/>
  <c r="AC20" i="1"/>
  <c r="E20" i="1"/>
  <c r="AV20" i="1" s="1"/>
  <c r="AE19" i="1"/>
  <c r="AC19" i="1"/>
  <c r="E19" i="1"/>
  <c r="AS19" i="1" s="1"/>
  <c r="AF18" i="1"/>
  <c r="E18" i="1"/>
  <c r="AU18" i="1" s="1"/>
  <c r="AF17" i="1"/>
  <c r="E17" i="1"/>
  <c r="AZ17" i="1" s="1"/>
  <c r="AF16" i="1"/>
  <c r="E16" i="1"/>
  <c r="AZ16" i="1" s="1"/>
  <c r="AE15" i="1"/>
  <c r="AC15" i="1"/>
  <c r="E15" i="1"/>
  <c r="AZ15" i="1" s="1"/>
  <c r="AE14" i="1"/>
  <c r="E14" i="1"/>
  <c r="AY14" i="1" s="1"/>
  <c r="AE13" i="1"/>
  <c r="AC13" i="1"/>
  <c r="E13" i="1"/>
  <c r="AZ13" i="1" s="1"/>
  <c r="AR12" i="1"/>
  <c r="AJ12" i="1"/>
  <c r="AG12" i="1"/>
  <c r="AE12" i="1"/>
  <c r="E12" i="1"/>
  <c r="AU12" i="1" s="1"/>
  <c r="AF11" i="1"/>
  <c r="E11" i="1"/>
  <c r="AZ11" i="1" s="1"/>
  <c r="AF10" i="1"/>
  <c r="E10" i="1"/>
  <c r="AY10" i="1" s="1"/>
  <c r="AH9" i="1"/>
  <c r="AE9" i="1"/>
  <c r="AC9" i="1"/>
  <c r="E9" i="1"/>
  <c r="AU9" i="1" s="1"/>
  <c r="AE8" i="1"/>
  <c r="E8" i="1"/>
  <c r="AX8" i="1" s="1"/>
  <c r="C3" i="1"/>
  <c r="AC47" i="1" s="1"/>
  <c r="AY20" i="1" l="1"/>
  <c r="AN23" i="1"/>
  <c r="AU34" i="1"/>
  <c r="AS41" i="1"/>
  <c r="AG44" i="1"/>
  <c r="AK47" i="1"/>
  <c r="AX35" i="1"/>
  <c r="AG38" i="1"/>
  <c r="AY47" i="1"/>
  <c r="AL50" i="1"/>
  <c r="AW32" i="1"/>
  <c r="AD45" i="1"/>
  <c r="AE45" i="1" s="1"/>
  <c r="AG50" i="1"/>
  <c r="AP51" i="1"/>
  <c r="AP42" i="1"/>
  <c r="AK50" i="1"/>
  <c r="BA51" i="1"/>
  <c r="AG45" i="1"/>
  <c r="AW45" i="1"/>
  <c r="AK15" i="1"/>
  <c r="AM11" i="1"/>
  <c r="AG30" i="1"/>
  <c r="AG33" i="1"/>
  <c r="AI38" i="1"/>
  <c r="AG41" i="1"/>
  <c r="AI45" i="1"/>
  <c r="AO50" i="1"/>
  <c r="AZ8" i="1"/>
  <c r="AO11" i="1"/>
  <c r="AP33" i="1"/>
  <c r="AQ38" i="1"/>
  <c r="AO45" i="1"/>
  <c r="AT50" i="1"/>
  <c r="AN16" i="1"/>
  <c r="AU41" i="1"/>
  <c r="AQ45" i="1"/>
  <c r="AI47" i="1"/>
  <c r="AQ49" i="1"/>
  <c r="BA50" i="1"/>
  <c r="AV45" i="1"/>
  <c r="AS9" i="1"/>
  <c r="AV11" i="1"/>
  <c r="AD20" i="1"/>
  <c r="AF20" i="1" s="1"/>
  <c r="AL23" i="1"/>
  <c r="AT24" i="1"/>
  <c r="AX26" i="1"/>
  <c r="AM31" i="1"/>
  <c r="AW33" i="1"/>
  <c r="AX41" i="1"/>
  <c r="AZ43" i="1"/>
  <c r="AV49" i="1"/>
  <c r="BA41" i="1"/>
  <c r="AY49" i="1"/>
  <c r="AV50" i="1"/>
  <c r="AN55" i="1"/>
  <c r="BA11" i="1"/>
  <c r="AQ8" i="1"/>
  <c r="AJ16" i="1"/>
  <c r="AG20" i="1"/>
  <c r="AZ21" i="1"/>
  <c r="AU23" i="1"/>
  <c r="AY36" i="1"/>
  <c r="AU38" i="1"/>
  <c r="AM45" i="1"/>
  <c r="AK46" i="1"/>
  <c r="AX50" i="1"/>
  <c r="BA52" i="1"/>
  <c r="AD11" i="1"/>
  <c r="AE11" i="1" s="1"/>
  <c r="AT16" i="1"/>
  <c r="AR19" i="1"/>
  <c r="AO20" i="1"/>
  <c r="AX23" i="1"/>
  <c r="AK25" i="1"/>
  <c r="AP30" i="1"/>
  <c r="AL41" i="1"/>
  <c r="AT44" i="1"/>
  <c r="AN20" i="1"/>
  <c r="AU19" i="1"/>
  <c r="AW20" i="1"/>
  <c r="AT25" i="1"/>
  <c r="AV28" i="1"/>
  <c r="AQ30" i="1"/>
  <c r="AI39" i="1"/>
  <c r="AO41" i="1"/>
  <c r="AT45" i="1"/>
  <c r="AX20" i="1"/>
  <c r="AY39" i="1"/>
  <c r="AI49" i="1"/>
  <c r="AG10" i="1"/>
  <c r="AI13" i="1"/>
  <c r="AT53" i="1"/>
  <c r="AJ9" i="1"/>
  <c r="AJ10" i="1"/>
  <c r="AZ10" i="1"/>
  <c r="AQ11" i="1"/>
  <c r="AK12" i="1"/>
  <c r="AJ13" i="1"/>
  <c r="AQ20" i="1"/>
  <c r="AJ23" i="1"/>
  <c r="AW23" i="1"/>
  <c r="BA32" i="1"/>
  <c r="AQ33" i="1"/>
  <c r="AG36" i="1"/>
  <c r="AZ36" i="1"/>
  <c r="AM38" i="1"/>
  <c r="AK39" i="1"/>
  <c r="AI41" i="1"/>
  <c r="AV41" i="1"/>
  <c r="BA42" i="1"/>
  <c r="AP45" i="1"/>
  <c r="AG46" i="1"/>
  <c r="AP47" i="1"/>
  <c r="AD49" i="1"/>
  <c r="AF49" i="1" s="1"/>
  <c r="AU49" i="1"/>
  <c r="AI50" i="1"/>
  <c r="AW50" i="1"/>
  <c r="AS51" i="1"/>
  <c r="AD53" i="1"/>
  <c r="AF53" i="1" s="1"/>
  <c r="AW53" i="1"/>
  <c r="AI55" i="1"/>
  <c r="AW10" i="1"/>
  <c r="AT18" i="1"/>
  <c r="AK22" i="1"/>
  <c r="AT33" i="1"/>
  <c r="AJ36" i="1"/>
  <c r="BA36" i="1"/>
  <c r="AL10" i="1"/>
  <c r="BA10" i="1"/>
  <c r="AT13" i="1"/>
  <c r="AX9" i="1"/>
  <c r="AN10" i="1"/>
  <c r="AX11" i="1"/>
  <c r="AV12" i="1"/>
  <c r="AY22" i="1"/>
  <c r="AM23" i="1"/>
  <c r="AZ23" i="1"/>
  <c r="AU33" i="1"/>
  <c r="AN36" i="1"/>
  <c r="AS38" i="1"/>
  <c r="AM41" i="1"/>
  <c r="AY41" i="1"/>
  <c r="AV46" i="1"/>
  <c r="BA47" i="1"/>
  <c r="AG49" i="1"/>
  <c r="AW49" i="1"/>
  <c r="AG53" i="1"/>
  <c r="BA22" i="1"/>
  <c r="AI53" i="1"/>
  <c r="AG54" i="1"/>
  <c r="BE5" i="1"/>
  <c r="AO36" i="1"/>
  <c r="AQ10" i="1"/>
  <c r="AW38" i="1"/>
  <c r="AP41" i="1"/>
  <c r="AL49" i="1"/>
  <c r="AP50" i="1"/>
  <c r="AK52" i="1"/>
  <c r="AL53" i="1"/>
  <c r="AQ54" i="1"/>
  <c r="AD56" i="1"/>
  <c r="AE56" i="1" s="1"/>
  <c r="BD5" i="1"/>
  <c r="AO10" i="1"/>
  <c r="AD10" i="1"/>
  <c r="AE10" i="1" s="1"/>
  <c r="AP23" i="1"/>
  <c r="AI33" i="1"/>
  <c r="BA33" i="1"/>
  <c r="AQ36" i="1"/>
  <c r="AS10" i="1"/>
  <c r="AG11" i="1"/>
  <c r="AH19" i="1"/>
  <c r="AM20" i="1"/>
  <c r="AD23" i="1"/>
  <c r="AF23" i="1" s="1"/>
  <c r="AR23" i="1"/>
  <c r="AW25" i="1"/>
  <c r="AJ30" i="1"/>
  <c r="AK32" i="1"/>
  <c r="AK33" i="1"/>
  <c r="AD36" i="1"/>
  <c r="AF36" i="1" s="1"/>
  <c r="AR36" i="1"/>
  <c r="AD41" i="1"/>
  <c r="AE41" i="1" s="1"/>
  <c r="AQ41" i="1"/>
  <c r="AL45" i="1"/>
  <c r="AY45" i="1"/>
  <c r="AG48" i="1"/>
  <c r="AM49" i="1"/>
  <c r="AD50" i="1"/>
  <c r="AF50" i="1" s="1"/>
  <c r="AQ50" i="1"/>
  <c r="AK51" i="1"/>
  <c r="AU52" i="1"/>
  <c r="AM53" i="1"/>
  <c r="AW54" i="1"/>
  <c r="BC5" i="1"/>
  <c r="AV10" i="1"/>
  <c r="AH13" i="1"/>
  <c r="AL24" i="1"/>
  <c r="AR32" i="1"/>
  <c r="AM33" i="1"/>
  <c r="AU36" i="1"/>
  <c r="AO49" i="1"/>
  <c r="AM51" i="1"/>
  <c r="AO53" i="1"/>
  <c r="AX56" i="1"/>
  <c r="BB5" i="1"/>
  <c r="AD15" i="1"/>
  <c r="AF15" i="1" s="1"/>
  <c r="AM15" i="1"/>
  <c r="AV15" i="1"/>
  <c r="AX18" i="1"/>
  <c r="AL29" i="1"/>
  <c r="AW29" i="1"/>
  <c r="AM37" i="1"/>
  <c r="AV37" i="1"/>
  <c r="AT40" i="1"/>
  <c r="AN42" i="1"/>
  <c r="AX42" i="1"/>
  <c r="BA48" i="1"/>
  <c r="AP56" i="1"/>
  <c r="BA8" i="1"/>
  <c r="AL9" i="1"/>
  <c r="AY9" i="1"/>
  <c r="AI10" i="1"/>
  <c r="AU10" i="1"/>
  <c r="AP11" i="1"/>
  <c r="AY11" i="1"/>
  <c r="AR13" i="1"/>
  <c r="AN15" i="1"/>
  <c r="AW15" i="1"/>
  <c r="AO16" i="1"/>
  <c r="AK17" i="1"/>
  <c r="BA18" i="1"/>
  <c r="AJ19" i="1"/>
  <c r="AV19" i="1"/>
  <c r="AP20" i="1"/>
  <c r="AZ20" i="1"/>
  <c r="AI22" i="1"/>
  <c r="AO23" i="1"/>
  <c r="AW24" i="1"/>
  <c r="AL25" i="1"/>
  <c r="AX25" i="1"/>
  <c r="AN29" i="1"/>
  <c r="AX29" i="1"/>
  <c r="AV30" i="1"/>
  <c r="AQ31" i="1"/>
  <c r="AG32" i="1"/>
  <c r="AY32" i="1"/>
  <c r="AL33" i="1"/>
  <c r="AV33" i="1"/>
  <c r="AZ34" i="1"/>
  <c r="AY35" i="1"/>
  <c r="AI36" i="1"/>
  <c r="AS36" i="1"/>
  <c r="AD37" i="1"/>
  <c r="AE37" i="1" s="1"/>
  <c r="AN37" i="1"/>
  <c r="AW37" i="1"/>
  <c r="AK38" i="1"/>
  <c r="AV38" i="1"/>
  <c r="AJ39" i="1"/>
  <c r="AZ39" i="1"/>
  <c r="AU40" i="1"/>
  <c r="AK41" i="1"/>
  <c r="AT41" i="1"/>
  <c r="AO42" i="1"/>
  <c r="AY42" i="1"/>
  <c r="AJ44" i="1"/>
  <c r="AK45" i="1"/>
  <c r="AU45" i="1"/>
  <c r="AI46" i="1"/>
  <c r="AW46" i="1"/>
  <c r="AM47" i="1"/>
  <c r="AN49" i="1"/>
  <c r="AN50" i="1"/>
  <c r="AY50" i="1"/>
  <c r="AQ51" i="1"/>
  <c r="AG52" i="1"/>
  <c r="AQ53" i="1"/>
  <c r="AT54" i="1"/>
  <c r="AK55" i="1"/>
  <c r="AS56" i="1"/>
  <c r="AO15" i="1"/>
  <c r="AN25" i="1"/>
  <c r="AX37" i="1"/>
  <c r="AY40" i="1"/>
  <c r="AI11" i="1"/>
  <c r="AY15" i="1"/>
  <c r="AJ18" i="1"/>
  <c r="AZ19" i="1"/>
  <c r="AD31" i="1"/>
  <c r="AF31" i="1" s="1"/>
  <c r="AL32" i="1"/>
  <c r="AN33" i="1"/>
  <c r="AX33" i="1"/>
  <c r="AL36" i="1"/>
  <c r="AV36" i="1"/>
  <c r="AP37" i="1"/>
  <c r="AY37" i="1"/>
  <c r="AN38" i="1"/>
  <c r="AX38" i="1"/>
  <c r="AO39" i="1"/>
  <c r="BA40" i="1"/>
  <c r="AG42" i="1"/>
  <c r="AQ42" i="1"/>
  <c r="AU44" i="1"/>
  <c r="AN46" i="1"/>
  <c r="AY46" i="1"/>
  <c r="AQ47" i="1"/>
  <c r="AK48" i="1"/>
  <c r="AU51" i="1"/>
  <c r="AM52" i="1"/>
  <c r="AU53" i="1"/>
  <c r="AI54" i="1"/>
  <c r="AX54" i="1"/>
  <c r="AQ55" i="1"/>
  <c r="BA56" i="1"/>
  <c r="AX17" i="1"/>
  <c r="AL19" i="1"/>
  <c r="AX19" i="1"/>
  <c r="AO29" i="1"/>
  <c r="AR31" i="1"/>
  <c r="BA35" i="1"/>
  <c r="AO37" i="1"/>
  <c r="AP9" i="1"/>
  <c r="BA9" i="1"/>
  <c r="AS11" i="1"/>
  <c r="AU13" i="1"/>
  <c r="AG15" i="1"/>
  <c r="AP15" i="1"/>
  <c r="AX16" i="1"/>
  <c r="AN17" i="1"/>
  <c r="AM19" i="1"/>
  <c r="AH20" i="1"/>
  <c r="AR20" i="1"/>
  <c r="AN22" i="1"/>
  <c r="AD25" i="1"/>
  <c r="AF25" i="1" s="1"/>
  <c r="AO25" i="1"/>
  <c r="BA25" i="1"/>
  <c r="AP29" i="1"/>
  <c r="AT31" i="1"/>
  <c r="AI8" i="1"/>
  <c r="AQ9" i="1"/>
  <c r="AM10" i="1"/>
  <c r="AK11" i="1"/>
  <c r="AT11" i="1"/>
  <c r="AH15" i="1"/>
  <c r="AQ15" i="1"/>
  <c r="BA15" i="1"/>
  <c r="AY16" i="1"/>
  <c r="AT17" i="1"/>
  <c r="AK18" i="1"/>
  <c r="AD19" i="1"/>
  <c r="AF19" i="1" s="1"/>
  <c r="AO19" i="1"/>
  <c r="BA19" i="1"/>
  <c r="AI20" i="1"/>
  <c r="AU20" i="1"/>
  <c r="AJ21" i="1"/>
  <c r="AP22" i="1"/>
  <c r="AP25" i="1"/>
  <c r="AM28" i="1"/>
  <c r="AG29" i="1"/>
  <c r="AQ29" i="1"/>
  <c r="AW31" i="1"/>
  <c r="AO32" i="1"/>
  <c r="AD33" i="1"/>
  <c r="AF33" i="1" s="1"/>
  <c r="AO33" i="1"/>
  <c r="AY33" i="1"/>
  <c r="AG35" i="1"/>
  <c r="AM36" i="1"/>
  <c r="AG37" i="1"/>
  <c r="AQ37" i="1"/>
  <c r="BA37" i="1"/>
  <c r="AO38" i="1"/>
  <c r="AY38" i="1"/>
  <c r="AP39" i="1"/>
  <c r="AJ40" i="1"/>
  <c r="AN41" i="1"/>
  <c r="AW41" i="1"/>
  <c r="AH42" i="1"/>
  <c r="AS42" i="1"/>
  <c r="AN45" i="1"/>
  <c r="AX45" i="1"/>
  <c r="AO46" i="1"/>
  <c r="BA46" i="1"/>
  <c r="AU47" i="1"/>
  <c r="AM48" i="1"/>
  <c r="AT49" i="1"/>
  <c r="AX51" i="1"/>
  <c r="AO52" i="1"/>
  <c r="AK54" i="1"/>
  <c r="AY54" i="1"/>
  <c r="AS55" i="1"/>
  <c r="AO9" i="1"/>
  <c r="AZ9" i="1"/>
  <c r="AX15" i="1"/>
  <c r="AL17" i="1"/>
  <c r="AI18" i="1"/>
  <c r="AY25" i="1"/>
  <c r="AD29" i="1"/>
  <c r="AE29" i="1" s="1"/>
  <c r="AY29" i="1"/>
  <c r="AJ8" i="1"/>
  <c r="AG9" i="1"/>
  <c r="AR9" i="1"/>
  <c r="AL11" i="1"/>
  <c r="AU11" i="1"/>
  <c r="AI15" i="1"/>
  <c r="AS15" i="1"/>
  <c r="AW17" i="1"/>
  <c r="AL18" i="1"/>
  <c r="AP19" i="1"/>
  <c r="AL20" i="1"/>
  <c r="AN21" i="1"/>
  <c r="AT22" i="1"/>
  <c r="AJ24" i="1"/>
  <c r="AQ25" i="1"/>
  <c r="AO28" i="1"/>
  <c r="AH29" i="1"/>
  <c r="AS29" i="1"/>
  <c r="AI31" i="1"/>
  <c r="AX31" i="1"/>
  <c r="AQ32" i="1"/>
  <c r="AI35" i="1"/>
  <c r="AI37" i="1"/>
  <c r="AS37" i="1"/>
  <c r="AP38" i="1"/>
  <c r="BA38" i="1"/>
  <c r="AR39" i="1"/>
  <c r="AK40" i="1"/>
  <c r="AI42" i="1"/>
  <c r="AU42" i="1"/>
  <c r="AP46" i="1"/>
  <c r="AX47" i="1"/>
  <c r="AO48" i="1"/>
  <c r="AI51" i="1"/>
  <c r="AY51" i="1"/>
  <c r="AS52" i="1"/>
  <c r="AY53" i="1"/>
  <c r="AL54" i="1"/>
  <c r="BA54" i="1"/>
  <c r="AV55" i="1"/>
  <c r="AH56" i="1"/>
  <c r="AI29" i="1"/>
  <c r="AT29" i="1"/>
  <c r="AJ31" i="1"/>
  <c r="AZ31" i="1"/>
  <c r="AO35" i="1"/>
  <c r="AK37" i="1"/>
  <c r="AT37" i="1"/>
  <c r="AU39" i="1"/>
  <c r="AM40" i="1"/>
  <c r="AK42" i="1"/>
  <c r="AV42" i="1"/>
  <c r="AQ46" i="1"/>
  <c r="AU48" i="1"/>
  <c r="AO54" i="1"/>
  <c r="AY55" i="1"/>
  <c r="AK56" i="1"/>
  <c r="AT15" i="1"/>
  <c r="AR8" i="1"/>
  <c r="AI9" i="1"/>
  <c r="AN11" i="1"/>
  <c r="AW11" i="1"/>
  <c r="AL15" i="1"/>
  <c r="AU15" i="1"/>
  <c r="AD17" i="1"/>
  <c r="AE17" i="1" s="1"/>
  <c r="AG19" i="1"/>
  <c r="AI25" i="1"/>
  <c r="AV25" i="1"/>
  <c r="AK29" i="1"/>
  <c r="AV29" i="1"/>
  <c r="AT32" i="1"/>
  <c r="AP35" i="1"/>
  <c r="AL37" i="1"/>
  <c r="AU37" i="1"/>
  <c r="AM42" i="1"/>
  <c r="AW42" i="1"/>
  <c r="AS46" i="1"/>
  <c r="AW48" i="1"/>
  <c r="AW52" i="1"/>
  <c r="AD54" i="1"/>
  <c r="AF54" i="1" s="1"/>
  <c r="AP54" i="1"/>
  <c r="BA55" i="1"/>
  <c r="AL56" i="1"/>
  <c r="AS8" i="1"/>
  <c r="AH11" i="1"/>
  <c r="AH12" i="1"/>
  <c r="AH17" i="1"/>
  <c r="AC10" i="1"/>
  <c r="AC11" i="1"/>
  <c r="AS12" i="1"/>
  <c r="AC14" i="1"/>
  <c r="AH8" i="1"/>
  <c r="AH16" i="1"/>
  <c r="AH34" i="1"/>
  <c r="AI14" i="1"/>
  <c r="AS14" i="1"/>
  <c r="AH25" i="1"/>
  <c r="AS25" i="1"/>
  <c r="AT27" i="1"/>
  <c r="AJ14" i="1"/>
  <c r="AT14" i="1"/>
  <c r="AK21" i="1"/>
  <c r="AH23" i="1"/>
  <c r="AW26" i="1"/>
  <c r="AO26" i="1"/>
  <c r="AG26" i="1"/>
  <c r="AT26" i="1"/>
  <c r="AL26" i="1"/>
  <c r="AD26" i="1"/>
  <c r="AF26" i="1" s="1"/>
  <c r="AR26" i="1"/>
  <c r="AH26" i="1"/>
  <c r="BA26" i="1"/>
  <c r="AQ26" i="1"/>
  <c r="AZ26" i="1"/>
  <c r="AP26" i="1"/>
  <c r="AY26" i="1"/>
  <c r="AN26" i="1"/>
  <c r="AV26" i="1"/>
  <c r="AK26" i="1"/>
  <c r="AU27" i="1"/>
  <c r="AX27" i="1"/>
  <c r="AW13" i="1"/>
  <c r="AU21" i="1"/>
  <c r="AM21" i="1"/>
  <c r="AY21" i="1"/>
  <c r="AP21" i="1"/>
  <c r="AG21" i="1"/>
  <c r="AX21" i="1"/>
  <c r="AO21" i="1"/>
  <c r="AV21" i="1"/>
  <c r="AL21" i="1"/>
  <c r="AD21" i="1"/>
  <c r="AF21" i="1" s="1"/>
  <c r="AQ21" i="1"/>
  <c r="AD27" i="1"/>
  <c r="AE27" i="1" s="1"/>
  <c r="AV14" i="1"/>
  <c r="AV8" i="1"/>
  <c r="AT12" i="1"/>
  <c r="AL12" i="1"/>
  <c r="AD12" i="1"/>
  <c r="AF12" i="1" s="1"/>
  <c r="AY12" i="1"/>
  <c r="AQ12" i="1"/>
  <c r="AI12" i="1"/>
  <c r="AW12" i="1"/>
  <c r="AM13" i="1"/>
  <c r="AX13" i="1"/>
  <c r="AD14" i="1"/>
  <c r="AF14" i="1" s="1"/>
  <c r="AN14" i="1"/>
  <c r="BA16" i="1"/>
  <c r="AS16" i="1"/>
  <c r="AK16" i="1"/>
  <c r="AV16" i="1"/>
  <c r="AM16" i="1"/>
  <c r="AD16" i="1"/>
  <c r="AE16" i="1" s="1"/>
  <c r="AL16" i="1"/>
  <c r="AU16" i="1"/>
  <c r="AR16" i="1"/>
  <c r="AI16" i="1"/>
  <c r="AP16" i="1"/>
  <c r="AU17" i="1"/>
  <c r="AM17" i="1"/>
  <c r="AS17" i="1"/>
  <c r="AJ17" i="1"/>
  <c r="BA17" i="1"/>
  <c r="AR17" i="1"/>
  <c r="AI17" i="1"/>
  <c r="AY17" i="1"/>
  <c r="AP17" i="1"/>
  <c r="AG17" i="1"/>
  <c r="AO17" i="1"/>
  <c r="AC21" i="1"/>
  <c r="AR21" i="1"/>
  <c r="AW22" i="1"/>
  <c r="AO22" i="1"/>
  <c r="AG22" i="1"/>
  <c r="AV22" i="1"/>
  <c r="AM22" i="1"/>
  <c r="AD22" i="1"/>
  <c r="AF22" i="1" s="1"/>
  <c r="AU22" i="1"/>
  <c r="AL22" i="1"/>
  <c r="AS22" i="1"/>
  <c r="AJ22" i="1"/>
  <c r="AQ22" i="1"/>
  <c r="AJ26" i="1"/>
  <c r="BA28" i="1"/>
  <c r="AS28" i="1"/>
  <c r="AK28" i="1"/>
  <c r="AX28" i="1"/>
  <c r="AP28" i="1"/>
  <c r="AH28" i="1"/>
  <c r="AU28" i="1"/>
  <c r="AJ28" i="1"/>
  <c r="AT28" i="1"/>
  <c r="AI28" i="1"/>
  <c r="AR28" i="1"/>
  <c r="AG28" i="1"/>
  <c r="AQ28" i="1"/>
  <c r="AY28" i="1"/>
  <c r="AN28" i="1"/>
  <c r="AD28" i="1"/>
  <c r="AE28" i="1" s="1"/>
  <c r="AZ28" i="1"/>
  <c r="AX14" i="1"/>
  <c r="AP14" i="1"/>
  <c r="AH14" i="1"/>
  <c r="AU14" i="1"/>
  <c r="AM14" i="1"/>
  <c r="AK8" i="1"/>
  <c r="AL14" i="1"/>
  <c r="AC8" i="1"/>
  <c r="AM8" i="1"/>
  <c r="AM12" i="1"/>
  <c r="AN8" i="1"/>
  <c r="AW8" i="1"/>
  <c r="AV9" i="1"/>
  <c r="AN9" i="1"/>
  <c r="AK9" i="1"/>
  <c r="AT9" i="1"/>
  <c r="AR10" i="1"/>
  <c r="AC12" i="1"/>
  <c r="AN12" i="1"/>
  <c r="AX12" i="1"/>
  <c r="AD13" i="1"/>
  <c r="AF13" i="1" s="1"/>
  <c r="AO13" i="1"/>
  <c r="AY13" i="1"/>
  <c r="AO14" i="1"/>
  <c r="AZ14" i="1"/>
  <c r="AQ16" i="1"/>
  <c r="AC17" i="1"/>
  <c r="AQ17" i="1"/>
  <c r="AW18" i="1"/>
  <c r="AO18" i="1"/>
  <c r="AG18" i="1"/>
  <c r="AZ18" i="1"/>
  <c r="AQ18" i="1"/>
  <c r="AH18" i="1"/>
  <c r="AY18" i="1"/>
  <c r="AP18" i="1"/>
  <c r="AV18" i="1"/>
  <c r="AM18" i="1"/>
  <c r="AD18" i="1"/>
  <c r="AE18" i="1" s="1"/>
  <c r="AN18" i="1"/>
  <c r="AS21" i="1"/>
  <c r="AR22" i="1"/>
  <c r="AM26" i="1"/>
  <c r="AC37" i="1"/>
  <c r="AK14" i="1"/>
  <c r="AY27" i="1"/>
  <c r="AQ27" i="1"/>
  <c r="AI27" i="1"/>
  <c r="AV27" i="1"/>
  <c r="AN27" i="1"/>
  <c r="AS27" i="1"/>
  <c r="AH27" i="1"/>
  <c r="AR27" i="1"/>
  <c r="AG27" i="1"/>
  <c r="BA27" i="1"/>
  <c r="AP27" i="1"/>
  <c r="AZ27" i="1"/>
  <c r="AO27" i="1"/>
  <c r="AW27" i="1"/>
  <c r="AL27" i="1"/>
  <c r="AW14" i="1"/>
  <c r="AS54" i="1"/>
  <c r="AC54" i="1"/>
  <c r="AH45" i="1"/>
  <c r="AH41" i="1"/>
  <c r="AC55" i="1"/>
  <c r="AH54" i="1"/>
  <c r="AH50" i="1"/>
  <c r="AH46" i="1"/>
  <c r="AH51" i="1"/>
  <c r="AC57" i="1"/>
  <c r="AC53" i="1"/>
  <c r="AC45" i="1"/>
  <c r="AC50" i="1"/>
  <c r="AC46" i="1"/>
  <c r="AS33" i="1"/>
  <c r="AC28" i="1"/>
  <c r="AS48" i="1"/>
  <c r="AC38" i="1"/>
  <c r="AC35" i="1"/>
  <c r="AC51" i="1"/>
  <c r="AC44" i="1"/>
  <c r="AC34" i="1"/>
  <c r="AC31" i="1"/>
  <c r="AC52" i="1"/>
  <c r="AS50" i="1"/>
  <c r="AH47" i="1"/>
  <c r="AC41" i="1"/>
  <c r="AH38" i="1"/>
  <c r="AC48" i="1"/>
  <c r="AC40" i="1"/>
  <c r="AS39" i="1"/>
  <c r="AH37" i="1"/>
  <c r="AC39" i="1"/>
  <c r="AC30" i="1"/>
  <c r="AH33" i="1"/>
  <c r="AC32" i="1"/>
  <c r="AC23" i="1"/>
  <c r="AC43" i="1"/>
  <c r="AC16" i="1"/>
  <c r="AC26" i="1"/>
  <c r="AC25" i="1"/>
  <c r="AS23" i="1"/>
  <c r="AC22" i="1"/>
  <c r="AS47" i="1"/>
  <c r="AC33" i="1"/>
  <c r="AC27" i="1"/>
  <c r="AO8" i="1"/>
  <c r="AO12" i="1"/>
  <c r="AZ12" i="1"/>
  <c r="AR18" i="1"/>
  <c r="AH21" i="1"/>
  <c r="AT21" i="1"/>
  <c r="AS26" i="1"/>
  <c r="AK27" i="1"/>
  <c r="AH39" i="1"/>
  <c r="AT8" i="1"/>
  <c r="AL8" i="1"/>
  <c r="AD8" i="1"/>
  <c r="AF8" i="1" s="1"/>
  <c r="AU8" i="1"/>
  <c r="AV13" i="1"/>
  <c r="AN13" i="1"/>
  <c r="BA13" i="1"/>
  <c r="AS13" i="1"/>
  <c r="AK13" i="1"/>
  <c r="AL13" i="1"/>
  <c r="AP13" i="1"/>
  <c r="AQ14" i="1"/>
  <c r="BA14" i="1"/>
  <c r="AC18" i="1"/>
  <c r="AG8" i="1"/>
  <c r="AP8" i="1"/>
  <c r="AY8" i="1"/>
  <c r="AD9" i="1"/>
  <c r="AF9" i="1" s="1"/>
  <c r="AM9" i="1"/>
  <c r="AW9" i="1"/>
  <c r="AX10" i="1"/>
  <c r="AP10" i="1"/>
  <c r="AH10" i="1"/>
  <c r="AK10" i="1"/>
  <c r="AT10" i="1"/>
  <c r="AP12" i="1"/>
  <c r="BA12" i="1"/>
  <c r="AG13" i="1"/>
  <c r="AQ13" i="1"/>
  <c r="AG14" i="1"/>
  <c r="AR14" i="1"/>
  <c r="AG16" i="1"/>
  <c r="AW16" i="1"/>
  <c r="AV17" i="1"/>
  <c r="AS18" i="1"/>
  <c r="AI21" i="1"/>
  <c r="AW21" i="1"/>
  <c r="AH22" i="1"/>
  <c r="AX22" i="1"/>
  <c r="BA24" i="1"/>
  <c r="AS24" i="1"/>
  <c r="AK24" i="1"/>
  <c r="AR24" i="1"/>
  <c r="AI24" i="1"/>
  <c r="AZ24" i="1"/>
  <c r="AQ24" i="1"/>
  <c r="AH24" i="1"/>
  <c r="AY24" i="1"/>
  <c r="AP24" i="1"/>
  <c r="AG24" i="1"/>
  <c r="AX24" i="1"/>
  <c r="AO24" i="1"/>
  <c r="AV24" i="1"/>
  <c r="AM24" i="1"/>
  <c r="AD24" i="1"/>
  <c r="AE24" i="1" s="1"/>
  <c r="AU24" i="1"/>
  <c r="AU26" i="1"/>
  <c r="AM27" i="1"/>
  <c r="AL28" i="1"/>
  <c r="AS30" i="1"/>
  <c r="AY19" i="1"/>
  <c r="AQ19" i="1"/>
  <c r="AI19" i="1"/>
  <c r="AK19" i="1"/>
  <c r="AT19" i="1"/>
  <c r="AH30" i="1"/>
  <c r="AU30" i="1"/>
  <c r="AV31" i="1"/>
  <c r="AN31" i="1"/>
  <c r="AY31" i="1"/>
  <c r="AP31" i="1"/>
  <c r="AG31" i="1"/>
  <c r="AU31" i="1"/>
  <c r="AL31" i="1"/>
  <c r="AO31" i="1"/>
  <c r="BA31" i="1"/>
  <c r="AI32" i="1"/>
  <c r="AW34" i="1"/>
  <c r="AK35" i="1"/>
  <c r="AK30" i="1"/>
  <c r="AW30" i="1"/>
  <c r="AI34" i="1"/>
  <c r="BA34" i="1"/>
  <c r="AT43" i="1"/>
  <c r="AL43" i="1"/>
  <c r="AD43" i="1"/>
  <c r="AE43" i="1" s="1"/>
  <c r="AW43" i="1"/>
  <c r="AO43" i="1"/>
  <c r="AG43" i="1"/>
  <c r="AV43" i="1"/>
  <c r="AN43" i="1"/>
  <c r="AY43" i="1"/>
  <c r="AK43" i="1"/>
  <c r="AX43" i="1"/>
  <c r="AJ43" i="1"/>
  <c r="AU43" i="1"/>
  <c r="AI43" i="1"/>
  <c r="AS43" i="1"/>
  <c r="AH43" i="1"/>
  <c r="AR43" i="1"/>
  <c r="AQ43" i="1"/>
  <c r="AJ11" i="1"/>
  <c r="AR11" i="1"/>
  <c r="AJ15" i="1"/>
  <c r="AR15" i="1"/>
  <c r="AN19" i="1"/>
  <c r="AW19" i="1"/>
  <c r="BA20" i="1"/>
  <c r="AS20" i="1"/>
  <c r="AK20" i="1"/>
  <c r="AJ20" i="1"/>
  <c r="AT20" i="1"/>
  <c r="AY23" i="1"/>
  <c r="AQ23" i="1"/>
  <c r="AI23" i="1"/>
  <c r="AK23" i="1"/>
  <c r="AT23" i="1"/>
  <c r="AM30" i="1"/>
  <c r="AH31" i="1"/>
  <c r="AS31" i="1"/>
  <c r="AX32" i="1"/>
  <c r="AP32" i="1"/>
  <c r="AH32" i="1"/>
  <c r="AV32" i="1"/>
  <c r="AM32" i="1"/>
  <c r="AD32" i="1"/>
  <c r="AF32" i="1" s="1"/>
  <c r="AS32" i="1"/>
  <c r="AJ32" i="1"/>
  <c r="AN32" i="1"/>
  <c r="AZ32" i="1"/>
  <c r="AK34" i="1"/>
  <c r="AT30" i="1"/>
  <c r="AL30" i="1"/>
  <c r="AD30" i="1"/>
  <c r="AF30" i="1" s="1"/>
  <c r="BA30" i="1"/>
  <c r="AR30" i="1"/>
  <c r="AI30" i="1"/>
  <c r="AX30" i="1"/>
  <c r="AO30" i="1"/>
  <c r="AN30" i="1"/>
  <c r="AZ30" i="1"/>
  <c r="AN34" i="1"/>
  <c r="AV35" i="1"/>
  <c r="AN35" i="1"/>
  <c r="AW35" i="1"/>
  <c r="AM35" i="1"/>
  <c r="AD35" i="1"/>
  <c r="AF35" i="1" s="1"/>
  <c r="AU35" i="1"/>
  <c r="AL35" i="1"/>
  <c r="AS35" i="1"/>
  <c r="AJ35" i="1"/>
  <c r="AZ35" i="1"/>
  <c r="AQ35" i="1"/>
  <c r="AH35" i="1"/>
  <c r="AT35" i="1"/>
  <c r="AM43" i="1"/>
  <c r="AT34" i="1"/>
  <c r="AL34" i="1"/>
  <c r="AD34" i="1"/>
  <c r="AE34" i="1" s="1"/>
  <c r="AY34" i="1"/>
  <c r="AP34" i="1"/>
  <c r="AG34" i="1"/>
  <c r="AX34" i="1"/>
  <c r="AO34" i="1"/>
  <c r="AV34" i="1"/>
  <c r="AM34" i="1"/>
  <c r="AS34" i="1"/>
  <c r="AJ34" i="1"/>
  <c r="AR34" i="1"/>
  <c r="AP43" i="1"/>
  <c r="AV40" i="1"/>
  <c r="AN40" i="1"/>
  <c r="AX40" i="1"/>
  <c r="AP40" i="1"/>
  <c r="AH40" i="1"/>
  <c r="AL40" i="1"/>
  <c r="AW40" i="1"/>
  <c r="AK44" i="1"/>
  <c r="AV44" i="1"/>
  <c r="AN44" i="1"/>
  <c r="AY44" i="1"/>
  <c r="AQ44" i="1"/>
  <c r="AI44" i="1"/>
  <c r="AX44" i="1"/>
  <c r="AP44" i="1"/>
  <c r="AH44" i="1"/>
  <c r="AL44" i="1"/>
  <c r="AZ44" i="1"/>
  <c r="AJ25" i="1"/>
  <c r="AR25" i="1"/>
  <c r="AZ25" i="1"/>
  <c r="AJ29" i="1"/>
  <c r="AR29" i="1"/>
  <c r="BA29" i="1"/>
  <c r="AT39" i="1"/>
  <c r="AL39" i="1"/>
  <c r="AD39" i="1"/>
  <c r="AF39" i="1" s="1"/>
  <c r="AV39" i="1"/>
  <c r="AN39" i="1"/>
  <c r="AM39" i="1"/>
  <c r="AX39" i="1"/>
  <c r="AD40" i="1"/>
  <c r="AF40" i="1" s="1"/>
  <c r="AO40" i="1"/>
  <c r="AZ40" i="1"/>
  <c r="AM44" i="1"/>
  <c r="BA44" i="1"/>
  <c r="AD44" i="1"/>
  <c r="AE44" i="1" s="1"/>
  <c r="AO44" i="1"/>
  <c r="AG40" i="1"/>
  <c r="AR40" i="1"/>
  <c r="AR44" i="1"/>
  <c r="AM25" i="1"/>
  <c r="AM29" i="1"/>
  <c r="AU29" i="1"/>
  <c r="AX36" i="1"/>
  <c r="AP36" i="1"/>
  <c r="AH36" i="1"/>
  <c r="AK36" i="1"/>
  <c r="AT36" i="1"/>
  <c r="AG39" i="1"/>
  <c r="AQ39" i="1"/>
  <c r="BA39" i="1"/>
  <c r="AI40" i="1"/>
  <c r="AS40" i="1"/>
  <c r="AS44" i="1"/>
  <c r="AJ33" i="1"/>
  <c r="AR33" i="1"/>
  <c r="AJ37" i="1"/>
  <c r="AR37" i="1"/>
  <c r="AD38" i="1"/>
  <c r="AE38" i="1" s="1"/>
  <c r="AL38" i="1"/>
  <c r="AT38" i="1"/>
  <c r="AJ41" i="1"/>
  <c r="AR41" i="1"/>
  <c r="AD42" i="1"/>
  <c r="AE42" i="1" s="1"/>
  <c r="AL42" i="1"/>
  <c r="AT42" i="1"/>
  <c r="AJ45" i="1"/>
  <c r="AR45" i="1"/>
  <c r="AZ45" i="1"/>
  <c r="AD46" i="1"/>
  <c r="AE46" i="1" s="1"/>
  <c r="AL46" i="1"/>
  <c r="AT46" i="1"/>
  <c r="AN47" i="1"/>
  <c r="AV47" i="1"/>
  <c r="AH48" i="1"/>
  <c r="AP48" i="1"/>
  <c r="AX48" i="1"/>
  <c r="AJ49" i="1"/>
  <c r="AR49" i="1"/>
  <c r="AZ49" i="1"/>
  <c r="AN51" i="1"/>
  <c r="AV51" i="1"/>
  <c r="AH52" i="1"/>
  <c r="AP52" i="1"/>
  <c r="AX52" i="1"/>
  <c r="AJ53" i="1"/>
  <c r="AR53" i="1"/>
  <c r="AZ53" i="1"/>
  <c r="AJ57" i="1"/>
  <c r="AR57" i="1"/>
  <c r="AZ57" i="1"/>
  <c r="AS45" i="1"/>
  <c r="AM46" i="1"/>
  <c r="AU46" i="1"/>
  <c r="AG47" i="1"/>
  <c r="AO47" i="1"/>
  <c r="AW47" i="1"/>
  <c r="AI48" i="1"/>
  <c r="AQ48" i="1"/>
  <c r="AY48" i="1"/>
  <c r="AK49" i="1"/>
  <c r="AS49" i="1"/>
  <c r="BA49" i="1"/>
  <c r="AM50" i="1"/>
  <c r="AU50" i="1"/>
  <c r="AG51" i="1"/>
  <c r="AO51" i="1"/>
  <c r="AW51" i="1"/>
  <c r="AI52" i="1"/>
  <c r="AQ52" i="1"/>
  <c r="AY52" i="1"/>
  <c r="AK53" i="1"/>
  <c r="AS53" i="1"/>
  <c r="BA53" i="1"/>
  <c r="AM54" i="1"/>
  <c r="AU54" i="1"/>
  <c r="AG55" i="1"/>
  <c r="AO55" i="1"/>
  <c r="AW55" i="1"/>
  <c r="AI56" i="1"/>
  <c r="AQ56" i="1"/>
  <c r="AY56" i="1"/>
  <c r="AK57" i="1"/>
  <c r="AS57" i="1"/>
  <c r="BA57" i="1"/>
  <c r="AJ48" i="1"/>
  <c r="AR48" i="1"/>
  <c r="AZ48" i="1"/>
  <c r="AJ52" i="1"/>
  <c r="AR52" i="1"/>
  <c r="AZ52" i="1"/>
  <c r="AN54" i="1"/>
  <c r="AV54" i="1"/>
  <c r="AH55" i="1"/>
  <c r="AP55" i="1"/>
  <c r="AX55" i="1"/>
  <c r="AJ56" i="1"/>
  <c r="AR56" i="1"/>
  <c r="AZ56" i="1"/>
  <c r="AD57" i="1"/>
  <c r="AE57" i="1" s="1"/>
  <c r="AL57" i="1"/>
  <c r="AT57" i="1"/>
  <c r="AM57" i="1"/>
  <c r="AU57" i="1"/>
  <c r="AJ47" i="1"/>
  <c r="AR47" i="1"/>
  <c r="AZ47" i="1"/>
  <c r="AD48" i="1"/>
  <c r="AF48" i="1" s="1"/>
  <c r="AL48" i="1"/>
  <c r="AT48" i="1"/>
  <c r="AJ51" i="1"/>
  <c r="AR51" i="1"/>
  <c r="AZ51" i="1"/>
  <c r="AD52" i="1"/>
  <c r="AE52" i="1" s="1"/>
  <c r="AL52" i="1"/>
  <c r="AT52" i="1"/>
  <c r="AN53" i="1"/>
  <c r="AV53" i="1"/>
  <c r="AJ55" i="1"/>
  <c r="AR55" i="1"/>
  <c r="AZ55" i="1"/>
  <c r="AT56" i="1"/>
  <c r="AN57" i="1"/>
  <c r="AV57" i="1"/>
  <c r="AM56" i="1"/>
  <c r="AU56" i="1"/>
  <c r="AG57" i="1"/>
  <c r="AO57" i="1"/>
  <c r="AW57" i="1"/>
  <c r="AJ38" i="1"/>
  <c r="AR38" i="1"/>
  <c r="AJ42" i="1"/>
  <c r="AR42" i="1"/>
  <c r="AJ46" i="1"/>
  <c r="AR46" i="1"/>
  <c r="AD47" i="1"/>
  <c r="AF47" i="1" s="1"/>
  <c r="AL47" i="1"/>
  <c r="AN48" i="1"/>
  <c r="AH49" i="1"/>
  <c r="AP49" i="1"/>
  <c r="AJ50" i="1"/>
  <c r="AR50" i="1"/>
  <c r="AD51" i="1"/>
  <c r="AE51" i="1" s="1"/>
  <c r="AL51" i="1"/>
  <c r="AN52" i="1"/>
  <c r="AH53" i="1"/>
  <c r="AP53" i="1"/>
  <c r="AJ54" i="1"/>
  <c r="AR54" i="1"/>
  <c r="AD55" i="1"/>
  <c r="AE55" i="1" s="1"/>
  <c r="AL55" i="1"/>
  <c r="AT55" i="1"/>
  <c r="AN56" i="1"/>
  <c r="AV56" i="1"/>
  <c r="AH57" i="1"/>
  <c r="AP57" i="1"/>
  <c r="AX57" i="1"/>
  <c r="AM55" i="1"/>
  <c r="AG56" i="1"/>
  <c r="AO56" i="1"/>
  <c r="AI57" i="1"/>
  <c r="AQ57" i="1"/>
  <c r="BE52" i="1" l="1"/>
  <c r="BC8" i="1"/>
  <c r="BC13" i="1"/>
  <c r="BE25" i="1"/>
  <c r="BC20" i="1"/>
  <c r="BE23" i="1"/>
  <c r="BE33" i="1"/>
  <c r="BE31" i="1"/>
  <c r="BE54" i="1"/>
  <c r="BE22" i="1"/>
  <c r="BE46" i="1"/>
  <c r="BE55" i="1"/>
  <c r="BE12" i="1"/>
  <c r="BC22" i="1"/>
  <c r="BE30" i="1"/>
  <c r="BE13" i="1"/>
  <c r="BC12" i="1"/>
  <c r="BC35" i="1"/>
  <c r="BC23" i="1"/>
  <c r="BC26" i="1"/>
  <c r="BC34" i="1"/>
  <c r="BE34" i="1"/>
  <c r="BE35" i="1"/>
  <c r="BC25" i="1"/>
  <c r="BC42" i="1"/>
  <c r="BC57" i="1"/>
  <c r="BE17" i="1"/>
  <c r="BE10" i="1"/>
  <c r="BE11" i="1"/>
  <c r="BE40" i="1"/>
  <c r="BC28" i="1"/>
  <c r="BC27" i="1"/>
  <c r="BC37" i="1"/>
  <c r="BE37" i="1"/>
  <c r="BC44" i="1"/>
  <c r="BE26" i="1"/>
  <c r="BE43" i="1"/>
  <c r="BE53" i="1"/>
  <c r="BC24" i="1"/>
  <c r="BC14" i="1"/>
  <c r="BC29" i="1"/>
  <c r="BE29" i="1"/>
  <c r="BE28" i="1"/>
  <c r="BE41" i="1"/>
  <c r="BC45" i="1"/>
  <c r="BC47" i="1"/>
  <c r="BE32" i="1"/>
  <c r="BC46" i="1"/>
  <c r="BC56" i="1"/>
  <c r="BC10" i="1"/>
  <c r="BE20" i="1"/>
  <c r="BE15" i="1"/>
  <c r="BC31" i="1"/>
  <c r="BE38" i="1"/>
  <c r="BC30" i="1"/>
  <c r="BC43" i="1"/>
  <c r="BC49" i="1"/>
  <c r="BC52" i="1"/>
  <c r="BC36" i="1"/>
  <c r="BE47" i="1"/>
  <c r="BE57" i="1"/>
  <c r="BE9" i="1"/>
  <c r="BC15" i="1"/>
  <c r="BC19" i="1"/>
  <c r="BC38" i="1"/>
  <c r="BC39" i="1"/>
  <c r="BC32" i="1"/>
  <c r="BC48" i="1"/>
  <c r="BC53" i="1"/>
  <c r="BC17" i="1"/>
  <c r="BC40" i="1"/>
  <c r="BC50" i="1"/>
  <c r="BD56" i="1"/>
  <c r="BB55" i="1"/>
  <c r="BD52" i="1"/>
  <c r="BB51" i="1"/>
  <c r="BD48" i="1"/>
  <c r="BB47" i="1"/>
  <c r="BD44" i="1"/>
  <c r="BB43" i="1"/>
  <c r="BD40" i="1"/>
  <c r="BB39" i="1"/>
  <c r="BD57" i="1"/>
  <c r="BB56" i="1"/>
  <c r="BD53" i="1"/>
  <c r="BB52" i="1"/>
  <c r="BD49" i="1"/>
  <c r="BB48" i="1"/>
  <c r="BD45" i="1"/>
  <c r="BB57" i="1"/>
  <c r="BD54" i="1"/>
  <c r="BB53" i="1"/>
  <c r="BD50" i="1"/>
  <c r="BB49" i="1"/>
  <c r="BD55" i="1"/>
  <c r="BB54" i="1"/>
  <c r="BD51" i="1"/>
  <c r="BB50" i="1"/>
  <c r="BD47" i="1"/>
  <c r="BB46" i="1"/>
  <c r="BD43" i="1"/>
  <c r="BB42" i="1"/>
  <c r="BD39" i="1"/>
  <c r="BB38" i="1"/>
  <c r="BD35" i="1"/>
  <c r="BB34" i="1"/>
  <c r="BD31" i="1"/>
  <c r="BB30" i="1"/>
  <c r="BB41" i="1"/>
  <c r="BB33" i="1"/>
  <c r="BD29" i="1"/>
  <c r="BD46" i="1"/>
  <c r="BD42" i="1"/>
  <c r="BB40" i="1"/>
  <c r="BB36" i="1"/>
  <c r="BB44" i="1"/>
  <c r="BB35" i="1"/>
  <c r="BB32" i="1"/>
  <c r="BD27" i="1"/>
  <c r="BB26" i="1"/>
  <c r="BB45" i="1"/>
  <c r="BD38" i="1"/>
  <c r="BD41" i="1"/>
  <c r="BD36" i="1"/>
  <c r="BD32" i="1"/>
  <c r="BD30" i="1"/>
  <c r="BD33" i="1"/>
  <c r="BB24" i="1"/>
  <c r="BD28" i="1"/>
  <c r="BB27" i="1"/>
  <c r="BD23" i="1"/>
  <c r="BD34" i="1"/>
  <c r="BB17" i="1"/>
  <c r="BD13" i="1"/>
  <c r="BB12" i="1"/>
  <c r="BD9" i="1"/>
  <c r="BB8" i="1"/>
  <c r="BD16" i="1"/>
  <c r="BB28" i="1"/>
  <c r="BB23" i="1"/>
  <c r="BD22" i="1"/>
  <c r="BB20" i="1"/>
  <c r="BD37" i="1"/>
  <c r="BB22" i="1"/>
  <c r="BB16" i="1"/>
  <c r="BB31" i="1"/>
  <c r="BB25" i="1"/>
  <c r="BB14" i="1"/>
  <c r="BB13" i="1"/>
  <c r="BD18" i="1"/>
  <c r="BB10" i="1"/>
  <c r="BB37" i="1"/>
  <c r="BB21" i="1"/>
  <c r="BB19" i="1"/>
  <c r="BD17" i="1"/>
  <c r="BD15" i="1"/>
  <c r="BB18" i="1"/>
  <c r="BB9" i="1"/>
  <c r="BD24" i="1"/>
  <c r="BD21" i="1"/>
  <c r="BD19" i="1"/>
  <c r="BD11" i="1"/>
  <c r="BD8" i="1"/>
  <c r="BD26" i="1"/>
  <c r="BD20" i="1"/>
  <c r="BB15" i="1"/>
  <c r="BD12" i="1"/>
  <c r="BB11" i="1"/>
  <c r="BB29" i="1"/>
  <c r="BD25" i="1"/>
  <c r="BD14" i="1"/>
  <c r="BD10" i="1"/>
  <c r="BC16" i="1"/>
  <c r="BC18" i="1"/>
  <c r="BE36" i="1"/>
  <c r="BE14" i="1"/>
  <c r="BE21" i="1"/>
  <c r="BE19" i="1"/>
  <c r="BC33" i="1"/>
  <c r="BC41" i="1"/>
  <c r="BE50" i="1"/>
  <c r="BE45" i="1"/>
  <c r="BE18" i="1"/>
  <c r="BE42" i="1"/>
  <c r="BE51" i="1"/>
  <c r="BC55" i="1"/>
  <c r="BC9" i="1"/>
  <c r="BE8" i="1"/>
  <c r="BE27" i="1"/>
  <c r="BC11" i="1"/>
  <c r="BE24" i="1"/>
  <c r="BE16" i="1"/>
  <c r="BE39" i="1"/>
  <c r="BC51" i="1"/>
  <c r="BE48" i="1"/>
  <c r="BE49" i="1"/>
  <c r="BC21" i="1"/>
  <c r="BE44" i="1"/>
  <c r="BC54" i="1"/>
  <c r="BE56" i="1"/>
</calcChain>
</file>

<file path=xl/sharedStrings.xml><?xml version="1.0" encoding="utf-8"?>
<sst xmlns="http://schemas.openxmlformats.org/spreadsheetml/2006/main" count="768" uniqueCount="322">
  <si>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Répartition Hommes / Femmes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</si>
  <si>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Pyramide des âges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</si>
  <si>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Niveau de qualification – Métiers - services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</si>
  <si>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Contrats de travail (statut / type de contrat / temps de travail / handicap)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</si>
  <si>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Niveaux de salaire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</si>
  <si>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Accident du travail (état des lieux et comparaison)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</si>
  <si>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Chiffre d’affaires</t>
    </r>
  </si>
  <si>
    <t>Tableau de suivi des effectifs (base de données)</t>
  </si>
  <si>
    <t>Aujourd'hui :</t>
  </si>
  <si>
    <t>Calculs automatiques :</t>
  </si>
  <si>
    <t>Femmes</t>
  </si>
  <si>
    <t>Turnover</t>
  </si>
  <si>
    <t>N°</t>
  </si>
  <si>
    <t>Matricule</t>
  </si>
  <si>
    <t>Date d'embauche</t>
  </si>
  <si>
    <t>Date départ</t>
  </si>
  <si>
    <t>Toujours en poste ?</t>
  </si>
  <si>
    <t>Nom</t>
  </si>
  <si>
    <t>Prénom</t>
  </si>
  <si>
    <t>Nationalité</t>
  </si>
  <si>
    <t>Sexe</t>
  </si>
  <si>
    <t>Adresse</t>
  </si>
  <si>
    <t>Date de naissance</t>
  </si>
  <si>
    <t>Handicap</t>
  </si>
  <si>
    <t>Type de contrat</t>
  </si>
  <si>
    <t>Temps de travail</t>
  </si>
  <si>
    <t>indicateur T T</t>
  </si>
  <si>
    <t>Statut</t>
  </si>
  <si>
    <t>Niveau de diplôme</t>
  </si>
  <si>
    <t>Salaire BRUT mensuel</t>
  </si>
  <si>
    <t>Service</t>
  </si>
  <si>
    <t>Métier</t>
  </si>
  <si>
    <t>CA  par Commercial Année 2020</t>
  </si>
  <si>
    <t>CA  par Commercial Année 2021</t>
  </si>
  <si>
    <t>Accident du travail</t>
  </si>
  <si>
    <t>Nbre de jours ITT Année 2020</t>
  </si>
  <si>
    <t>Nbre de jours ITT Année 2021</t>
  </si>
  <si>
    <t>Autres informations</t>
  </si>
  <si>
    <t>Remarques</t>
  </si>
  <si>
    <t>Nombre de jours dans l'entreprise</t>
  </si>
  <si>
    <t>Nombre d'employés actuellement en poste</t>
  </si>
  <si>
    <t>Nombre de F actuellement en poste</t>
  </si>
  <si>
    <t>Nombre d'H actuellement en poste</t>
  </si>
  <si>
    <t>Nombre ETP actuel</t>
  </si>
  <si>
    <t>Age des employés en poste</t>
  </si>
  <si>
    <t>Nombre handicapés</t>
  </si>
  <si>
    <t>Nombre CDI</t>
  </si>
  <si>
    <t>Nombre CDD</t>
  </si>
  <si>
    <t>Nombre Apprentissage</t>
  </si>
  <si>
    <t>Nombre stage</t>
  </si>
  <si>
    <t>Nombre Autre type contrat</t>
  </si>
  <si>
    <t>Nombre cadres</t>
  </si>
  <si>
    <t>Nombre agents de maitrise</t>
  </si>
  <si>
    <t>Nombre autre statut</t>
  </si>
  <si>
    <t>Age des F en poste</t>
  </si>
  <si>
    <t>Age des H en poste</t>
  </si>
  <si>
    <t>Nbre démissions N</t>
  </si>
  <si>
    <t>Nbre démissions N-1</t>
  </si>
  <si>
    <t>Nbre embauches N</t>
  </si>
  <si>
    <t>Nbre embauches N-1</t>
  </si>
  <si>
    <t>M00001</t>
  </si>
  <si>
    <t>Durand</t>
  </si>
  <si>
    <t>Paul</t>
  </si>
  <si>
    <t>Française</t>
  </si>
  <si>
    <t>M</t>
  </si>
  <si>
    <t>BORDEAUX</t>
  </si>
  <si>
    <t>Non</t>
  </si>
  <si>
    <t>CDI</t>
  </si>
  <si>
    <t>Temps plein</t>
  </si>
  <si>
    <t>Cadre</t>
  </si>
  <si>
    <t>Finances</t>
  </si>
  <si>
    <t>DAF</t>
  </si>
  <si>
    <t>Procédure en cours - rupture conventionnelle</t>
  </si>
  <si>
    <t>M00002</t>
  </si>
  <si>
    <t>Davy</t>
  </si>
  <si>
    <t>Aurélien</t>
  </si>
  <si>
    <t>PESSAC</t>
  </si>
  <si>
    <t>Autre</t>
  </si>
  <si>
    <t>Marketing</t>
  </si>
  <si>
    <t>Assistant</t>
  </si>
  <si>
    <t xml:space="preserve">départ volontaire </t>
  </si>
  <si>
    <t>M00003</t>
  </si>
  <si>
    <t>Lewan</t>
  </si>
  <si>
    <t>Clémentine</t>
  </si>
  <si>
    <t>F</t>
  </si>
  <si>
    <t>LORMONT</t>
  </si>
  <si>
    <t>CDD</t>
  </si>
  <si>
    <t>Communication</t>
  </si>
  <si>
    <t>Assistante</t>
  </si>
  <si>
    <t>M00004</t>
  </si>
  <si>
    <t>Broc</t>
  </si>
  <si>
    <t>Aurélie</t>
  </si>
  <si>
    <t>Agent de maîtrise</t>
  </si>
  <si>
    <t>Ventes</t>
  </si>
  <si>
    <t>Responsable</t>
  </si>
  <si>
    <t>M00005</t>
  </si>
  <si>
    <t>Martial</t>
  </si>
  <si>
    <t>Laurent</t>
  </si>
  <si>
    <t>Malgache</t>
  </si>
  <si>
    <t>Apprentissage</t>
  </si>
  <si>
    <t>Commercial</t>
  </si>
  <si>
    <t>M00006</t>
  </si>
  <si>
    <t>Uttin</t>
  </si>
  <si>
    <t>Jean-Paul</t>
  </si>
  <si>
    <t>À touvé un temps plein</t>
  </si>
  <si>
    <t>M00007</t>
  </si>
  <si>
    <t>Nervien</t>
  </si>
  <si>
    <t>Marc</t>
  </si>
  <si>
    <t>TALENCE</t>
  </si>
  <si>
    <t xml:space="preserve">Temps plein </t>
  </si>
  <si>
    <t>Directeur</t>
  </si>
  <si>
    <t>M00008TH</t>
  </si>
  <si>
    <t>Alfik</t>
  </si>
  <si>
    <t>Adel</t>
  </si>
  <si>
    <t>Oui</t>
  </si>
  <si>
    <t>Stage</t>
  </si>
  <si>
    <t>Fin du stage</t>
  </si>
  <si>
    <t>M00009</t>
  </si>
  <si>
    <t>Percaud</t>
  </si>
  <si>
    <t>Nelly</t>
  </si>
  <si>
    <t>CENON</t>
  </si>
  <si>
    <t>RH</t>
  </si>
  <si>
    <t>M000010</t>
  </si>
  <si>
    <t>Clavier</t>
  </si>
  <si>
    <t>Joelle</t>
  </si>
  <si>
    <t>SAINT JEAN D'ILLAC</t>
  </si>
  <si>
    <t>Comptable</t>
  </si>
  <si>
    <t>M000011</t>
  </si>
  <si>
    <t>Banner</t>
  </si>
  <si>
    <t>Beatrice</t>
  </si>
  <si>
    <t xml:space="preserve">Chute </t>
  </si>
  <si>
    <t>M000012</t>
  </si>
  <si>
    <t>Dufillo</t>
  </si>
  <si>
    <t>Christophe</t>
  </si>
  <si>
    <t>Fin du CDD</t>
  </si>
  <si>
    <t>M000013</t>
  </si>
  <si>
    <t>Pasteur</t>
  </si>
  <si>
    <t>Rémy</t>
  </si>
  <si>
    <t>M000014</t>
  </si>
  <si>
    <t>Perret</t>
  </si>
  <si>
    <t>Nicolas</t>
  </si>
  <si>
    <t>GRADIGNAN</t>
  </si>
  <si>
    <t>Accident / trajet</t>
  </si>
  <si>
    <t>M000015</t>
  </si>
  <si>
    <t>Vidal</t>
  </si>
  <si>
    <t>Julien</t>
  </si>
  <si>
    <t>BRUGES</t>
  </si>
  <si>
    <t>M000016TH</t>
  </si>
  <si>
    <t>Jossome</t>
  </si>
  <si>
    <t>Opérateur</t>
  </si>
  <si>
    <t>Coupure</t>
  </si>
  <si>
    <t>M000017</t>
  </si>
  <si>
    <t>Tarrere</t>
  </si>
  <si>
    <t>Laurence</t>
  </si>
  <si>
    <t>M000018</t>
  </si>
  <si>
    <t>Artigot</t>
  </si>
  <si>
    <t>Vincent</t>
  </si>
  <si>
    <t>M000019</t>
  </si>
  <si>
    <t>Chommet</t>
  </si>
  <si>
    <t>Antoine</t>
  </si>
  <si>
    <t>Blessure projection</t>
  </si>
  <si>
    <t>M000020</t>
  </si>
  <si>
    <t>Kalfi</t>
  </si>
  <si>
    <t xml:space="preserve">Fabienne </t>
  </si>
  <si>
    <t>M000021</t>
  </si>
  <si>
    <t>Thuriet</t>
  </si>
  <si>
    <t>Léa</t>
  </si>
  <si>
    <t>M000022</t>
  </si>
  <si>
    <t>Stantos</t>
  </si>
  <si>
    <t>Virginie</t>
  </si>
  <si>
    <t xml:space="preserve">Coupure </t>
  </si>
  <si>
    <t>M000023</t>
  </si>
  <si>
    <t xml:space="preserve">Mauret </t>
  </si>
  <si>
    <t xml:space="preserve">Damien </t>
  </si>
  <si>
    <t>M000024</t>
  </si>
  <si>
    <t>Jousse</t>
  </si>
  <si>
    <t>Dimitri</t>
  </si>
  <si>
    <t>M000025</t>
  </si>
  <si>
    <t>Parizi</t>
  </si>
  <si>
    <t>Pascal</t>
  </si>
  <si>
    <t>M000026</t>
  </si>
  <si>
    <t>Ruet</t>
  </si>
  <si>
    <t>Manuel</t>
  </si>
  <si>
    <t>M000027</t>
  </si>
  <si>
    <t>Kholer</t>
  </si>
  <si>
    <t>Julie</t>
  </si>
  <si>
    <t>M000028</t>
  </si>
  <si>
    <t>Bezzini</t>
  </si>
  <si>
    <t xml:space="preserve">Jules </t>
  </si>
  <si>
    <t>AMBARES</t>
  </si>
  <si>
    <t>M000029</t>
  </si>
  <si>
    <t>Noueau</t>
  </si>
  <si>
    <t>Jean Pierre</t>
  </si>
  <si>
    <t>M000030</t>
  </si>
  <si>
    <t>Verdelet</t>
  </si>
  <si>
    <t>Eve</t>
  </si>
  <si>
    <t>M000031TH</t>
  </si>
  <si>
    <t>Castanet</t>
  </si>
  <si>
    <t>Jean</t>
  </si>
  <si>
    <t>FLOIRAC</t>
  </si>
  <si>
    <t>M000032</t>
  </si>
  <si>
    <t>Pertinon</t>
  </si>
  <si>
    <t>Baptiste</t>
  </si>
  <si>
    <t>CARIGNAN</t>
  </si>
  <si>
    <t>M000033</t>
  </si>
  <si>
    <t>Willem</t>
  </si>
  <si>
    <t>Stanislas</t>
  </si>
  <si>
    <t>FARGUES SAINT HILAIRE</t>
  </si>
  <si>
    <t>M000034</t>
  </si>
  <si>
    <t>Dernival</t>
  </si>
  <si>
    <t>Camille</t>
  </si>
  <si>
    <t>M000035</t>
  </si>
  <si>
    <t>Permisso</t>
  </si>
  <si>
    <t>Pauline</t>
  </si>
  <si>
    <t>M000036</t>
  </si>
  <si>
    <t>Benvenuti</t>
  </si>
  <si>
    <t>Karolyn</t>
  </si>
  <si>
    <t>BLAYE</t>
  </si>
  <si>
    <t>M000037</t>
  </si>
  <si>
    <t>Freville</t>
  </si>
  <si>
    <t>Lyora</t>
  </si>
  <si>
    <t>SAINT GENES DE BLAYE</t>
  </si>
  <si>
    <t>M000038</t>
  </si>
  <si>
    <t>Manteau</t>
  </si>
  <si>
    <t>Elysa</t>
  </si>
  <si>
    <t>LE BOUSCAT</t>
  </si>
  <si>
    <t>Entorse</t>
  </si>
  <si>
    <t>M000039</t>
  </si>
  <si>
    <t>Buissart</t>
  </si>
  <si>
    <t xml:space="preserve">Marie </t>
  </si>
  <si>
    <t>MACAU</t>
  </si>
  <si>
    <t>M000040</t>
  </si>
  <si>
    <t>Bravais</t>
  </si>
  <si>
    <t>Théo</t>
  </si>
  <si>
    <t xml:space="preserve">LANDIRAS </t>
  </si>
  <si>
    <t>M000041</t>
  </si>
  <si>
    <t>Despaquis</t>
  </si>
  <si>
    <t>Yann</t>
  </si>
  <si>
    <t>LIBOURNE</t>
  </si>
  <si>
    <t>M000042</t>
  </si>
  <si>
    <t>Neveu</t>
  </si>
  <si>
    <t>Andrew</t>
  </si>
  <si>
    <t>RIONS</t>
  </si>
  <si>
    <t>Fin du contrat d'apprentissage</t>
  </si>
  <si>
    <t>M000043</t>
  </si>
  <si>
    <t>Wadel</t>
  </si>
  <si>
    <t>Pierre</t>
  </si>
  <si>
    <t>Belge</t>
  </si>
  <si>
    <t>SAUVETERRE</t>
  </si>
  <si>
    <t>M000044</t>
  </si>
  <si>
    <t>Perbost</t>
  </si>
  <si>
    <t>Louise</t>
  </si>
  <si>
    <t>Négociation temps partiel</t>
  </si>
  <si>
    <t>M000045TH</t>
  </si>
  <si>
    <t>Delannoy</t>
  </si>
  <si>
    <t>Sabine</t>
  </si>
  <si>
    <t>AVENSAN</t>
  </si>
  <si>
    <t>M000046</t>
  </si>
  <si>
    <t>Miguel</t>
  </si>
  <si>
    <t>Pablo</t>
  </si>
  <si>
    <t>Espagnole</t>
  </si>
  <si>
    <t>BONNETAN</t>
  </si>
  <si>
    <t>M000047</t>
  </si>
  <si>
    <t>Leprohon</t>
  </si>
  <si>
    <t>Joel</t>
  </si>
  <si>
    <t>SALLEBOEUF</t>
  </si>
  <si>
    <t>M000048</t>
  </si>
  <si>
    <t>Baussan</t>
  </si>
  <si>
    <t>Loubna</t>
  </si>
  <si>
    <t>M000049</t>
  </si>
  <si>
    <t>Chaput</t>
  </si>
  <si>
    <t>Bérengère</t>
  </si>
  <si>
    <t>M000050</t>
  </si>
  <si>
    <t>Visine</t>
  </si>
  <si>
    <t>Solène</t>
  </si>
  <si>
    <t>BLANQUEFORT</t>
  </si>
  <si>
    <t xml:space="preserve">Femmes </t>
  </si>
  <si>
    <t xml:space="preserve">Hommes </t>
  </si>
  <si>
    <t xml:space="preserve">Calcul Hommes : </t>
  </si>
  <si>
    <t>49 salariés</t>
  </si>
  <si>
    <t xml:space="preserve">Calcul Femmes : </t>
  </si>
  <si>
    <t>19 femmes x 100</t>
  </si>
  <si>
    <t>Àge aujourd'hui</t>
  </si>
  <si>
    <t>20 à 30</t>
  </si>
  <si>
    <t>30 à 40</t>
  </si>
  <si>
    <t xml:space="preserve">40 à 50 </t>
  </si>
  <si>
    <t>50 à 60</t>
  </si>
  <si>
    <t>60 et +</t>
  </si>
  <si>
    <t>21 hommes x 100</t>
  </si>
  <si>
    <t>nb.si(I8:I57;"F")</t>
  </si>
  <si>
    <t>nb.si(I8:I57;"M")</t>
  </si>
  <si>
    <t>HOMMES</t>
  </si>
  <si>
    <t>FEMMES</t>
  </si>
  <si>
    <t>Niveau 1 - cadre</t>
  </si>
  <si>
    <t>Niveau 3 - Bac +2</t>
  </si>
  <si>
    <t>Niveau 5 - BEP CAP</t>
  </si>
  <si>
    <t>Niveau 4 - Bac</t>
  </si>
  <si>
    <t>Niveau 2 - Agent de maitrise</t>
  </si>
  <si>
    <t>Service Production</t>
  </si>
  <si>
    <t>Service Finance</t>
  </si>
  <si>
    <t xml:space="preserve">Service Ventes </t>
  </si>
  <si>
    <t>Service RH</t>
  </si>
  <si>
    <t>Service Communication</t>
  </si>
  <si>
    <t>Production</t>
  </si>
  <si>
    <t>Service Marketing</t>
  </si>
  <si>
    <t>Controleur</t>
  </si>
  <si>
    <t xml:space="preserve">Comptable </t>
  </si>
  <si>
    <t xml:space="preserve">Assistant(e) </t>
  </si>
  <si>
    <t xml:space="preserve">temps plein </t>
  </si>
  <si>
    <t xml:space="preserve">temps partiel </t>
  </si>
  <si>
    <t xml:space="preserve">mi-temps </t>
  </si>
  <si>
    <t xml:space="preserve">Valilde </t>
  </si>
  <si>
    <t xml:space="preserve">Salaires </t>
  </si>
  <si>
    <t xml:space="preserve">maximum </t>
  </si>
  <si>
    <t>minimum</t>
  </si>
  <si>
    <t xml:space="preserve">moyen </t>
  </si>
  <si>
    <t xml:space="preserve">median </t>
  </si>
  <si>
    <t xml:space="preserve">Calcul de prime prévisionnelle </t>
  </si>
  <si>
    <t xml:space="preserve">temps partiels </t>
  </si>
  <si>
    <r>
      <t>Comparaison Prime et 13</t>
    </r>
    <r>
      <rPr>
        <vertAlign val="superscript"/>
        <sz val="11"/>
        <color theme="1"/>
        <rFont val="Calibri Light"/>
        <family val="2"/>
        <scheme val="major"/>
      </rPr>
      <t>ième</t>
    </r>
    <r>
      <rPr>
        <sz val="11"/>
        <color theme="1"/>
        <rFont val="Calibri Light"/>
        <family val="2"/>
        <scheme val="major"/>
      </rPr>
      <t xml:space="preserve"> mois </t>
    </r>
  </si>
  <si>
    <t>CA  par Commercial 
Année 2021</t>
  </si>
  <si>
    <t xml:space="preserve">Écart Prime /  13ieme mois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</si>
</sst>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yy"/>
    <numFmt numFmtId="165" formatCode="_-* #,##0.00\ [$€-40C]_-;\-* #,##0.00\ [$€-40C]_-;_-* &quot;-&quot;??\ [$€-40C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i/>
      <sz val="24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 Light"/>
      <family val="2"/>
      <scheme val="major"/>
    </font>
    <font>
      <vertAlign val="superscript"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color theme="5" tint="-0.499984740745262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horizontal="left" vertical="center" indent="5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4" fontId="0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14" fontId="0" fillId="0" borderId="0" xfId="0" applyNumberFormat="1"/>
    <xf numFmtId="49" fontId="0" fillId="0" borderId="0" xfId="0" applyNumberFormat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9" fontId="0" fillId="4" borderId="1" xfId="0" applyNumberFormat="1" applyFill="1" applyBorder="1" applyAlignment="1" applyProtection="1">
      <alignment horizontal="center"/>
      <protection locked="0"/>
    </xf>
    <xf numFmtId="44" fontId="0" fillId="4" borderId="1" xfId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44" fontId="0" fillId="4" borderId="1" xfId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Protection="1"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Protection="1">
      <protection locked="0"/>
    </xf>
    <xf numFmtId="44" fontId="12" fillId="0" borderId="1" xfId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44" fontId="12" fillId="0" borderId="1" xfId="1" applyFont="1" applyFill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14" fontId="12" fillId="0" borderId="0" xfId="0" applyNumberFormat="1" applyFont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4" fontId="0" fillId="0" borderId="1" xfId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center"/>
      <protection locked="0"/>
    </xf>
    <xf numFmtId="49" fontId="12" fillId="4" borderId="1" xfId="0" applyNumberFormat="1" applyFont="1" applyFill="1" applyBorder="1" applyAlignment="1" applyProtection="1">
      <alignment horizontal="left"/>
      <protection locked="0"/>
    </xf>
    <xf numFmtId="14" fontId="12" fillId="4" borderId="1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Protection="1">
      <protection locked="0"/>
    </xf>
    <xf numFmtId="9" fontId="12" fillId="4" borderId="1" xfId="0" applyNumberFormat="1" applyFont="1" applyFill="1" applyBorder="1" applyAlignment="1" applyProtection="1">
      <alignment horizontal="center"/>
      <protection locked="0"/>
    </xf>
    <xf numFmtId="44" fontId="12" fillId="4" borderId="1" xfId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44" fontId="12" fillId="4" borderId="1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lef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1" fillId="3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44" fontId="0" fillId="0" borderId="0" xfId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1" xfId="0" applyBorder="1" applyAlignment="1">
      <alignment horizontal="center"/>
    </xf>
    <xf numFmtId="0" fontId="2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44" fontId="0" fillId="0" borderId="0" xfId="1" applyFont="1" applyAlignment="1">
      <alignment horizontal="right"/>
    </xf>
    <xf numFmtId="0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1" xfId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wrapText="1"/>
    </xf>
    <xf numFmtId="0" fontId="0" fillId="0" borderId="5" xfId="0" applyBorder="1" applyAlignment="1">
      <alignment horizontal="right"/>
    </xf>
    <xf numFmtId="44" fontId="0" fillId="0" borderId="1" xfId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5" fontId="0" fillId="0" borderId="0" xfId="0" applyNumberFormat="1" applyAlignment="1" applyProtection="1">
      <alignment horizontal="center" vertical="center"/>
      <protection locked="0"/>
    </xf>
    <xf numFmtId="44" fontId="0" fillId="0" borderId="0" xfId="1" applyFont="1" applyBorder="1" applyAlignment="1" applyProtection="1">
      <alignment horizontal="center" vertical="center"/>
      <protection locked="0"/>
    </xf>
    <xf numFmtId="49" fontId="0" fillId="4" borderId="0" xfId="0" applyNumberFormat="1" applyFill="1" applyAlignment="1">
      <alignment horizontal="left"/>
    </xf>
    <xf numFmtId="0" fontId="14" fillId="0" borderId="0" xfId="0" applyFont="1"/>
    <xf numFmtId="0" fontId="17" fillId="0" borderId="1" xfId="0" applyFont="1" applyBorder="1" applyAlignment="1" applyProtection="1">
      <alignment vertical="center"/>
      <protection locked="0"/>
    </xf>
    <xf numFmtId="44" fontId="14" fillId="0" borderId="1" xfId="1" applyFont="1" applyFill="1" applyBorder="1" applyAlignment="1" applyProtection="1">
      <alignment horizontal="center" vertical="center"/>
      <protection locked="0"/>
    </xf>
    <xf numFmtId="44" fontId="14" fillId="0" borderId="1" xfId="0" applyNumberFormat="1" applyFont="1" applyBorder="1" applyAlignment="1">
      <alignment vertical="center"/>
    </xf>
    <xf numFmtId="0" fontId="17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44" fontId="16" fillId="5" borderId="1" xfId="1" applyFont="1" applyFill="1" applyBorder="1" applyAlignment="1">
      <alignment horizontal="center" vertical="center" wrapText="1"/>
    </xf>
    <xf numFmtId="44" fontId="16" fillId="5" borderId="6" xfId="1" applyFont="1" applyFill="1" applyBorder="1" applyAlignment="1">
      <alignment horizontal="center" vertical="center" wrapText="1"/>
    </xf>
    <xf numFmtId="0" fontId="17" fillId="6" borderId="1" xfId="0" applyFont="1" applyFill="1" applyBorder="1" applyAlignment="1" applyProtection="1">
      <alignment horizontal="left" vertical="center"/>
      <protection locked="0"/>
    </xf>
    <xf numFmtId="0" fontId="17" fillId="6" borderId="1" xfId="0" applyFont="1" applyFill="1" applyBorder="1" applyAlignment="1" applyProtection="1">
      <alignment vertical="center"/>
      <protection locked="0"/>
    </xf>
    <xf numFmtId="44" fontId="14" fillId="6" borderId="1" xfId="1" applyFont="1" applyFill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left" vertical="center"/>
      <protection locked="0"/>
    </xf>
    <xf numFmtId="0" fontId="18" fillId="6" borderId="1" xfId="0" applyFont="1" applyFill="1" applyBorder="1" applyAlignment="1" applyProtection="1">
      <alignment vertical="center"/>
      <protection locked="0"/>
    </xf>
    <xf numFmtId="44" fontId="18" fillId="6" borderId="1" xfId="1" applyFont="1" applyFill="1" applyBorder="1" applyAlignment="1" applyProtection="1">
      <alignment horizontal="center" vertical="center"/>
      <protection locked="0"/>
    </xf>
    <xf numFmtId="44" fontId="19" fillId="0" borderId="1" xfId="0" applyNumberFormat="1" applyFont="1" applyBorder="1" applyAlignment="1">
      <alignment vertical="center"/>
    </xf>
  </cellXfs>
  <cellStyles count="2">
    <cellStyle name="Monétaire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 Hommes / Femmes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580-40FA-9989-AAB3CA9797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580-40FA-9989-AAB3CA97974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'tableau de bord'!$H$59:$H$60</c:f>
              <c:strCache>
                <c:ptCount val="2"/>
                <c:pt idx="0">
                  <c:v>Femmes </c:v>
                </c:pt>
                <c:pt idx="1">
                  <c:v>Hommes </c:v>
                </c:pt>
              </c:strCache>
            </c:strRef>
          </c:cat>
          <c:val>
            <c:numRef>
              <c:f>'tableau de bord'!$I$59:$I$60</c:f>
              <c:numCache>
                <c:formatCode>General</c:formatCode>
                <c:ptCount val="2"/>
                <c:pt idx="0">
                  <c:v>19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80-40FA-9989-AAB3CA9797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Pyramide des âges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'tableau de bord'!$J$62</c:f>
              <c:strCache>
                <c:ptCount val="1"/>
                <c:pt idx="0">
                  <c:v>FEMMES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46000">
                  <a:schemeClr val="accent4">
                    <a:lumMod val="95000"/>
                    <a:lumOff val="5000"/>
                  </a:schemeClr>
                </a:gs>
                <a:gs pos="100000">
                  <a:schemeClr val="accent4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noFill/>
            </a:ln>
            <a:effectLst>
              <a:outerShdw blurRad="50800" dist="38100" dir="2700000" algn="tl" rotWithShape="0">
                <a:schemeClr val="accent4">
                  <a:lumMod val="60000"/>
                  <a:lumOff val="40000"/>
                  <a:alpha val="40000"/>
                </a:schemeClr>
              </a:outerShdw>
            </a:effectLst>
            <a:sp3d/>
          </c:spPr>
          <c:invertIfNegative val="0"/>
          <c:dLbls>
            <c:delete val="1"/>
          </c:dLbls>
          <c:cat>
            <c:strRef>
              <c:f>'tableau de bord'!$I$63:$I$67</c:f>
              <c:strCache>
                <c:ptCount val="5"/>
                <c:pt idx="0">
                  <c:v>20 à 30</c:v>
                </c:pt>
                <c:pt idx="1">
                  <c:v>30 à 40</c:v>
                </c:pt>
                <c:pt idx="2">
                  <c:v>40 à 50 </c:v>
                </c:pt>
                <c:pt idx="3">
                  <c:v>50 à 60</c:v>
                </c:pt>
                <c:pt idx="4">
                  <c:v>60 et +</c:v>
                </c:pt>
              </c:strCache>
            </c:strRef>
          </c:cat>
          <c:val>
            <c:numRef>
              <c:f>'tableau de bord'!$J$63:$J$67</c:f>
              <c:numCache>
                <c:formatCode>General</c:formatCode>
                <c:ptCount val="5"/>
                <c:pt idx="0">
                  <c:v>-2</c:v>
                </c:pt>
                <c:pt idx="1">
                  <c:v>-8</c:v>
                </c:pt>
                <c:pt idx="2">
                  <c:v>-5</c:v>
                </c:pt>
                <c:pt idx="3">
                  <c:v>-4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E-47C1-9865-C037E395767C}"/>
            </c:ext>
          </c:extLst>
        </c:ser>
        <c:ser>
          <c:idx val="1"/>
          <c:order val="1"/>
          <c:tx>
            <c:strRef>
              <c:f>'tableau de bord'!$K$62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6">
                      <a:lumMod val="40000"/>
                      <a:lumOff val="60000"/>
                    </a:schemeClr>
                  </a:gs>
                  <a:gs pos="46000">
                    <a:schemeClr val="accent6">
                      <a:lumMod val="95000"/>
                      <a:lumOff val="5000"/>
                    </a:schemeClr>
                  </a:gs>
                  <a:gs pos="100000">
                    <a:schemeClr val="accent6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9FE-47C1-9865-C037E395767C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6">
                      <a:lumMod val="40000"/>
                      <a:lumOff val="60000"/>
                    </a:schemeClr>
                  </a:gs>
                  <a:gs pos="46000">
                    <a:schemeClr val="accent6">
                      <a:lumMod val="95000"/>
                      <a:lumOff val="5000"/>
                    </a:schemeClr>
                  </a:gs>
                  <a:gs pos="100000">
                    <a:schemeClr val="accent6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  <a:tileRect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49FE-47C1-9865-C037E395767C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chemeClr val="accent6">
                      <a:lumMod val="40000"/>
                      <a:lumOff val="60000"/>
                    </a:schemeClr>
                  </a:gs>
                  <a:gs pos="46000">
                    <a:schemeClr val="accent6">
                      <a:lumMod val="95000"/>
                      <a:lumOff val="5000"/>
                    </a:schemeClr>
                  </a:gs>
                  <a:gs pos="100000">
                    <a:schemeClr val="accent6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9FE-47C1-9865-C037E395767C}"/>
              </c:ext>
            </c:extLst>
          </c:dPt>
          <c:dPt>
            <c:idx val="3"/>
            <c:invertIfNegative val="0"/>
            <c:bubble3D val="0"/>
            <c:spPr>
              <a:gradFill>
                <a:gsLst>
                  <a:gs pos="0">
                    <a:schemeClr val="accent6">
                      <a:lumMod val="40000"/>
                      <a:lumOff val="60000"/>
                    </a:schemeClr>
                  </a:gs>
                  <a:gs pos="46000">
                    <a:schemeClr val="accent6">
                      <a:lumMod val="95000"/>
                      <a:lumOff val="5000"/>
                    </a:schemeClr>
                  </a:gs>
                  <a:gs pos="100000">
                    <a:schemeClr val="accent6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49FE-47C1-9865-C037E395767C}"/>
              </c:ext>
            </c:extLst>
          </c:dPt>
          <c:dPt>
            <c:idx val="4"/>
            <c:invertIfNegative val="0"/>
            <c:bubble3D val="0"/>
            <c:spPr>
              <a:gradFill>
                <a:gsLst>
                  <a:gs pos="0">
                    <a:schemeClr val="accent6">
                      <a:lumMod val="40000"/>
                      <a:lumOff val="60000"/>
                    </a:schemeClr>
                  </a:gs>
                  <a:gs pos="46000">
                    <a:schemeClr val="accent6">
                      <a:lumMod val="95000"/>
                      <a:lumOff val="5000"/>
                    </a:schemeClr>
                  </a:gs>
                  <a:gs pos="100000">
                    <a:schemeClr val="accent6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9FE-47C1-9865-C037E395767C}"/>
              </c:ext>
            </c:extLst>
          </c:dPt>
          <c:dLbls>
            <c:delete val="1"/>
          </c:dLbls>
          <c:cat>
            <c:strRef>
              <c:f>'tableau de bord'!$I$63:$I$67</c:f>
              <c:strCache>
                <c:ptCount val="5"/>
                <c:pt idx="0">
                  <c:v>20 à 30</c:v>
                </c:pt>
                <c:pt idx="1">
                  <c:v>30 à 40</c:v>
                </c:pt>
                <c:pt idx="2">
                  <c:v>40 à 50 </c:v>
                </c:pt>
                <c:pt idx="3">
                  <c:v>50 à 60</c:v>
                </c:pt>
                <c:pt idx="4">
                  <c:v>60 et +</c:v>
                </c:pt>
              </c:strCache>
            </c:strRef>
          </c:cat>
          <c:val>
            <c:numRef>
              <c:f>'tableau de bord'!$K$63:$K$67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E-47C1-9865-C037E39576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gapDepth val="0"/>
        <c:shape val="box"/>
        <c:axId val="1310626127"/>
        <c:axId val="1310624879"/>
        <c:axId val="0"/>
      </c:bar3DChart>
      <c:catAx>
        <c:axId val="1310626127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accent1"/>
            </a:solidFill>
          </a:ln>
          <a:effectLst>
            <a:outerShdw blurRad="50800" dir="5400000" algn="ctr" rotWithShape="0">
              <a:srgbClr val="000000">
                <a:alpha val="43137"/>
              </a:srgbClr>
            </a:outerShdw>
          </a:effectLst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0624879"/>
        <c:crossesAt val="0"/>
        <c:auto val="1"/>
        <c:lblAlgn val="ctr"/>
        <c:lblOffset val="0"/>
        <c:noMultiLvlLbl val="0"/>
      </c:catAx>
      <c:valAx>
        <c:axId val="1310624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0626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>
          <a:outerShdw blurRad="50800" dist="50800" dir="5400000" algn="ctr" rotWithShape="0">
            <a:schemeClr val="accent1"/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tx2">
          <a:lumMod val="60000"/>
          <a:lumOff val="40000"/>
        </a:schemeClr>
      </a:outerShdw>
    </a:effec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Niveau de Qualification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60"/>
      <c:rotY val="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365988889942993E-3"/>
          <c:y val="0.19432874628989133"/>
          <c:w val="0.96944444444444444"/>
          <c:h val="0.80567111402741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6B9-4096-A0AC-9F464551DD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6B9-4096-A0AC-9F464551DDA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6B9-4096-A0AC-9F464551DDA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6B9-4096-A0AC-9F464551DDA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6B9-4096-A0AC-9F464551DDAE}"/>
              </c:ext>
            </c:extLst>
          </c:dPt>
          <c:dLbls>
            <c:dLbl>
              <c:idx val="0"/>
              <c:layout>
                <c:manualLayout>
                  <c:x val="-0.10407283464566928"/>
                  <c:y val="0.103052705879128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B9-4096-A0AC-9F464551DDAE}"/>
                </c:ext>
              </c:extLst>
            </c:dLbl>
            <c:dLbl>
              <c:idx val="1"/>
              <c:layout>
                <c:manualLayout>
                  <c:x val="-0.17707283464566939"/>
                  <c:y val="6.42207191463991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B9-4096-A0AC-9F464551DDAE}"/>
                </c:ext>
              </c:extLst>
            </c:dLbl>
            <c:dLbl>
              <c:idx val="2"/>
              <c:layout>
                <c:manualLayout>
                  <c:x val="-8.6668853893263398E-2"/>
                  <c:y val="-0.260281107159255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B9-4096-A0AC-9F464551DDAE}"/>
                </c:ext>
              </c:extLst>
            </c:dLbl>
            <c:dLbl>
              <c:idx val="3"/>
              <c:layout>
                <c:manualLayout>
                  <c:x val="0.17886570428696413"/>
                  <c:y val="6.82997958588509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B9-4096-A0AC-9F464551DD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'tableau de bord'!$Q$60:$Q$64</c:f>
              <c:strCache>
                <c:ptCount val="5"/>
                <c:pt idx="0">
                  <c:v>Niveau 1 - cadre</c:v>
                </c:pt>
                <c:pt idx="1">
                  <c:v>Niveau 2 - Agent de maitrise</c:v>
                </c:pt>
                <c:pt idx="2">
                  <c:v>Niveau 3 - Bac +2</c:v>
                </c:pt>
                <c:pt idx="3">
                  <c:v>Niveau 4 - Bac</c:v>
                </c:pt>
                <c:pt idx="4">
                  <c:v>Niveau 5 - BEP CAP</c:v>
                </c:pt>
              </c:strCache>
            </c:strRef>
          </c:cat>
          <c:val>
            <c:numRef>
              <c:f>'tableau de bord'!$R$60:$R$64</c:f>
              <c:numCache>
                <c:formatCode>General</c:formatCode>
                <c:ptCount val="5"/>
                <c:pt idx="0">
                  <c:v>6</c:v>
                </c:pt>
                <c:pt idx="1">
                  <c:v>5</c:v>
                </c:pt>
                <c:pt idx="2">
                  <c:v>23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B9-4096-A0AC-9F464551DDAE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Types de contrat de travail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0533945756780403"/>
          <c:y val="0.12224409448818897"/>
          <c:w val="0.46709908136482942"/>
          <c:h val="0.77849846894138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C66-4E73-A554-03D5D89B42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C66-4E73-A554-03D5D89B42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C66-4E73-A554-03D5D89B42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C66-4E73-A554-03D5D89B42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'tableau de bord'!$M$61:$M$64</c:f>
              <c:strCache>
                <c:ptCount val="4"/>
                <c:pt idx="0">
                  <c:v>CDI</c:v>
                </c:pt>
                <c:pt idx="1">
                  <c:v>CDD</c:v>
                </c:pt>
                <c:pt idx="2">
                  <c:v>Apprentissage</c:v>
                </c:pt>
                <c:pt idx="3">
                  <c:v>Stage</c:v>
                </c:pt>
              </c:strCache>
            </c:strRef>
          </c:cat>
          <c:val>
            <c:numRef>
              <c:f>'tableau de bord'!$N$61:$N$64</c:f>
              <c:numCache>
                <c:formatCode>General</c:formatCode>
                <c:ptCount val="4"/>
                <c:pt idx="0">
                  <c:v>40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66-4E73-A554-03D5D89B42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2995297462817144"/>
          <c:y val="0.29208333333333336"/>
          <c:w val="0.22342716535433071"/>
          <c:h val="0.480903324584426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Évolution du nombre d'ITT par type</a:t>
            </a:r>
            <a:r>
              <a:rPr lang="en-US" baseline="0">
                <a:solidFill>
                  <a:schemeClr val="accent1">
                    <a:lumMod val="75000"/>
                  </a:schemeClr>
                </a:solidFill>
              </a:rPr>
              <a:t> d'accident du travail </a:t>
            </a:r>
            <a:endParaRPr lang="en-US">
              <a:solidFill>
                <a:schemeClr val="accent1">
                  <a:lumMod val="7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noFill/>
            <a:ln w="25400" cap="flat" cmpd="sng" algn="ctr">
              <a:solidFill>
                <a:schemeClr val="tx2">
                  <a:lumMod val="75000"/>
                </a:schemeClr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'tableau de bord'!$X$18:$X$57</c15:sqref>
                  </c15:fullRef>
                </c:ext>
              </c:extLst>
              <c:f>('tableau de bord'!$X$18,'tableau de bord'!$X$21,'tableau de bord'!$X$23,'tableau de bord'!$X$26,'tableau de bord'!$X$29,'tableau de bord'!$X$40,'tableau de bord'!$X$45,'tableau de bord'!$X$57)</c:f>
              <c:strCache>
                <c:ptCount val="8"/>
                <c:pt idx="0">
                  <c:v>Chute </c:v>
                </c:pt>
                <c:pt idx="1">
                  <c:v>Accident / trajet</c:v>
                </c:pt>
                <c:pt idx="2">
                  <c:v>Coupure</c:v>
                </c:pt>
                <c:pt idx="3">
                  <c:v>Blessure projection</c:v>
                </c:pt>
                <c:pt idx="4">
                  <c:v>Coupure </c:v>
                </c:pt>
                <c:pt idx="5">
                  <c:v>Coupure </c:v>
                </c:pt>
                <c:pt idx="6">
                  <c:v>Entorse</c:v>
                </c:pt>
                <c:pt idx="7">
                  <c:v>Chute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de bord'!$Y$18:$Y$57</c15:sqref>
                  </c15:fullRef>
                </c:ext>
              </c:extLst>
              <c:f>('tableau de bord'!$Y$18,'tableau de bord'!$Y$21,'tableau de bord'!$Y$23,'tableau de bord'!$Y$26,'tableau de bord'!$Y$29,'tableau de bord'!$Y$40,'tableau de bord'!$Y$45,'tableau de bord'!$Y$57)</c:f>
              <c:numCache>
                <c:formatCode>General</c:formatCode>
                <c:ptCount val="8"/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4-4583-94B8-0D6E7253FE16}"/>
            </c:ext>
          </c:extLst>
        </c:ser>
        <c:ser>
          <c:idx val="1"/>
          <c:order val="1"/>
          <c:tx>
            <c:v>2021</c:v>
          </c:tx>
          <c:spPr>
            <a:noFill/>
            <a:ln w="25400" cap="flat" cmpd="sng" algn="ctr">
              <a:solidFill>
                <a:srgbClr val="FF0000"/>
              </a:solidFill>
              <a:miter lim="800000"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'tableau de bord'!$X$18:$X$57</c15:sqref>
                  </c15:fullRef>
                </c:ext>
              </c:extLst>
              <c:f>('tableau de bord'!$X$18,'tableau de bord'!$X$21,'tableau de bord'!$X$23,'tableau de bord'!$X$26,'tableau de bord'!$X$29,'tableau de bord'!$X$40,'tableau de bord'!$X$45,'tableau de bord'!$X$57)</c:f>
              <c:strCache>
                <c:ptCount val="8"/>
                <c:pt idx="0">
                  <c:v>Chute </c:v>
                </c:pt>
                <c:pt idx="1">
                  <c:v>Accident / trajet</c:v>
                </c:pt>
                <c:pt idx="2">
                  <c:v>Coupure</c:v>
                </c:pt>
                <c:pt idx="3">
                  <c:v>Blessure projection</c:v>
                </c:pt>
                <c:pt idx="4">
                  <c:v>Coupure </c:v>
                </c:pt>
                <c:pt idx="5">
                  <c:v>Coupure </c:v>
                </c:pt>
                <c:pt idx="6">
                  <c:v>Entorse</c:v>
                </c:pt>
                <c:pt idx="7">
                  <c:v>Chute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de bord'!$Z$18:$Z$57</c15:sqref>
                  </c15:fullRef>
                </c:ext>
              </c:extLst>
              <c:f>('tableau de bord'!$Z$18,'tableau de bord'!$Z$21,'tableau de bord'!$Z$23,'tableau de bord'!$Z$26,'tableau de bord'!$Z$29,'tableau de bord'!$Z$40,'tableau de bord'!$Z$45,'tableau de bord'!$Z$57)</c:f>
              <c:numCache>
                <c:formatCode>General</c:formatCode>
                <c:ptCount val="8"/>
                <c:pt idx="0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4-4583-94B8-0D6E7253F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1332694831"/>
        <c:axId val="1332692335"/>
      </c:barChart>
      <c:catAx>
        <c:axId val="133269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2692335"/>
        <c:crosses val="autoZero"/>
        <c:auto val="1"/>
        <c:lblAlgn val="ctr"/>
        <c:lblOffset val="100"/>
        <c:noMultiLvlLbl val="0"/>
      </c:catAx>
      <c:valAx>
        <c:axId val="13326923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269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58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fr-FR"/>
              <a:t>Niveaux de salaire bruts mensuels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8813710204178721E-2"/>
          <c:y val="0.23154666791900527"/>
          <c:w val="0.94118628979582131"/>
          <c:h val="0.67875147534671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'tableau de bord'!$R$73:$R$76</c:f>
              <c:strCache>
                <c:ptCount val="4"/>
                <c:pt idx="0">
                  <c:v>maximum </c:v>
                </c:pt>
                <c:pt idx="1">
                  <c:v>minimum</c:v>
                </c:pt>
                <c:pt idx="2">
                  <c:v>moyen </c:v>
                </c:pt>
                <c:pt idx="3">
                  <c:v>median </c:v>
                </c:pt>
              </c:strCache>
            </c:strRef>
          </c:cat>
          <c:val>
            <c:numRef>
              <c:f>'tableau de bord'!$S$73:$S$76</c:f>
              <c:numCache>
                <c:formatCode>_("€"* #,##0.00_);_("€"* \(#,##0.00\);_("€"* "-"??_);_(@_)</c:formatCode>
                <c:ptCount val="4"/>
                <c:pt idx="0">
                  <c:v>5341</c:v>
                </c:pt>
                <c:pt idx="1">
                  <c:v>1450</c:v>
                </c:pt>
                <c:pt idx="2">
                  <c:v>2792.52</c:v>
                </c:pt>
                <c:pt idx="3">
                  <c:v>2330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2-4529-A9BA-FA647AFE934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328489295"/>
        <c:axId val="1328478063"/>
      </c:barChart>
      <c:catAx>
        <c:axId val="1328489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8478063"/>
        <c:crosses val="autoZero"/>
        <c:auto val="1"/>
        <c:lblAlgn val="ctr"/>
        <c:lblOffset val="100"/>
        <c:noMultiLvlLbl val="0"/>
      </c:catAx>
      <c:valAx>
        <c:axId val="1328478063"/>
        <c:scaling>
          <c:orientation val="minMax"/>
        </c:scaling>
        <c:delete val="1"/>
        <c:axPos val="l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crossAx val="1328489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Comparaison CA 2020 - 2021 par commercial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Lit>
              <c:ptCount val="12"/>
              <c:pt idx="0">
                <c:v> 5,00 € </c:v>
              </c:pt>
              <c:pt idx="1">
                <c:v> 6,00 € </c:v>
              </c:pt>
              <c:pt idx="2">
                <c:v> 7,00 € </c:v>
              </c:pt>
              <c:pt idx="3">
                <c:v> 14,00 € </c:v>
              </c:pt>
              <c:pt idx="4">
                <c:v> 22,00 € </c:v>
              </c:pt>
              <c:pt idx="5">
                <c:v> 28,00 € </c:v>
              </c:pt>
              <c:pt idx="6">
                <c:v> 40,00 € </c:v>
              </c:pt>
              <c:pt idx="7">
                <c:v> 44,00 € </c:v>
              </c:pt>
              <c:pt idx="8">
                <c:v> 46,00 € </c:v>
              </c:pt>
              <c:pt idx="9">
                <c:v> 49,00 € </c:v>
              </c:pt>
              <c:pt idx="10">
                <c:v> 50,00 € </c:v>
              </c:pt>
              <c:pt idx="11">
                <c:v> 51,00 €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de bord'!$V$7:$V$57</c15:sqref>
                  </c15:fullRef>
                </c:ext>
              </c:extLst>
              <c:f>('tableau de bord'!$V$11:$V$13,'tableau de bord'!$V$20,'tableau de bord'!$V$28,'tableau de bord'!$V$34,'tableau de bord'!$V$46,'tableau de bord'!$V$50,'tableau de bord'!$V$52,'tableau de bord'!$V$55:$V$57)</c:f>
              <c:numCache>
                <c:formatCode>_("€"* #,##0.00_);_("€"* \(#,##0.00\);_("€"* "-"??_);_(@_)</c:formatCode>
                <c:ptCount val="12"/>
                <c:pt idx="0">
                  <c:v>1278251</c:v>
                </c:pt>
                <c:pt idx="1">
                  <c:v>756230</c:v>
                </c:pt>
                <c:pt idx="2">
                  <c:v>384478</c:v>
                </c:pt>
                <c:pt idx="3">
                  <c:v>1982130</c:v>
                </c:pt>
                <c:pt idx="4">
                  <c:v>1678251</c:v>
                </c:pt>
                <c:pt idx="5">
                  <c:v>1225045</c:v>
                </c:pt>
                <c:pt idx="6">
                  <c:v>1850948</c:v>
                </c:pt>
                <c:pt idx="7">
                  <c:v>2284456</c:v>
                </c:pt>
                <c:pt idx="8">
                  <c:v>2780246</c:v>
                </c:pt>
                <c:pt idx="9">
                  <c:v>2366045</c:v>
                </c:pt>
                <c:pt idx="10">
                  <c:v>189000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0-4A0B-937F-009EC29196E8}"/>
            </c:ext>
          </c:extLst>
        </c:ser>
        <c:ser>
          <c:idx val="1"/>
          <c:order val="1"/>
          <c:tx>
            <c:v>2021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Lit>
              <c:ptCount val="12"/>
              <c:pt idx="0">
                <c:v> 5,00 € </c:v>
              </c:pt>
              <c:pt idx="1">
                <c:v> 6,00 € </c:v>
              </c:pt>
              <c:pt idx="2">
                <c:v> 7,00 € </c:v>
              </c:pt>
              <c:pt idx="3">
                <c:v> 14,00 € </c:v>
              </c:pt>
              <c:pt idx="4">
                <c:v> 22,00 € </c:v>
              </c:pt>
              <c:pt idx="5">
                <c:v> 28,00 € </c:v>
              </c:pt>
              <c:pt idx="6">
                <c:v> 40,00 € </c:v>
              </c:pt>
              <c:pt idx="7">
                <c:v> 44,00 € </c:v>
              </c:pt>
              <c:pt idx="8">
                <c:v> 46,00 € </c:v>
              </c:pt>
              <c:pt idx="9">
                <c:v> 49,00 € </c:v>
              </c:pt>
              <c:pt idx="10">
                <c:v> 50,00 € </c:v>
              </c:pt>
              <c:pt idx="11">
                <c:v> 51,00 €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'tableau de bord'!$W$7:$W$57</c15:sqref>
                  </c15:fullRef>
                </c:ext>
              </c:extLst>
              <c:f>('tableau de bord'!$W$11:$W$13,'tableau de bord'!$W$20,'tableau de bord'!$W$28,'tableau de bord'!$W$34,'tableau de bord'!$W$46,'tableau de bord'!$W$50,'tableau de bord'!$W$52,'tableau de bord'!$W$55:$W$57)</c:f>
              <c:numCache>
                <c:formatCode>_("€"* #,##0.00_);_("€"* \(#,##0.00\);_("€"* "-"??_);_(@_)</c:formatCode>
                <c:ptCount val="12"/>
                <c:pt idx="0">
                  <c:v>1573025</c:v>
                </c:pt>
                <c:pt idx="1">
                  <c:v>780264</c:v>
                </c:pt>
                <c:pt idx="4">
                  <c:v>1873025</c:v>
                </c:pt>
                <c:pt idx="5">
                  <c:v>1145348</c:v>
                </c:pt>
                <c:pt idx="6">
                  <c:v>1945623</c:v>
                </c:pt>
                <c:pt idx="7">
                  <c:v>2089245</c:v>
                </c:pt>
                <c:pt idx="8">
                  <c:v>2578123</c:v>
                </c:pt>
                <c:pt idx="9">
                  <c:v>2457812</c:v>
                </c:pt>
                <c:pt idx="10">
                  <c:v>565940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0-4A0B-937F-009EC2919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28481391"/>
        <c:axId val="1328493455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ullRef>
                          <c15:sqref>'tableau de bord'!$F$8:$F$57</c15:sqref>
                        </c15:fullRef>
                        <c15:formulaRef>
                          <c15:sqref>('tableau de bord'!$F$12:$F$14,'tableau de bord'!$F$21,'tableau de bord'!$F$29,'tableau de bord'!$F$35,'tableau de bord'!$F$47,'tableau de bord'!$F$51,'tableau de bord'!$F$53,'tableau de bord'!$F$56:$F$57)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500-4A0B-937F-009EC29196E8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'tableau de bord'!$F$7</c15:sqref>
                        </c15:fullRef>
                        <c15:formulaRef>
                          <c15:sqref/>
                        </c15:formulaRef>
                      </c:ext>
                    </c:extLst>
                    <c:numCache>
                      <c:formatCode>General</c:formatCode>
                      <c:ptCount val="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500-4A0B-937F-009EC29196E8}"/>
                  </c:ext>
                </c:extLst>
              </c15:ser>
            </c15:filteredBarSeries>
          </c:ext>
        </c:extLst>
      </c:barChart>
      <c:catAx>
        <c:axId val="1328481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8493455"/>
        <c:crosses val="autoZero"/>
        <c:auto val="0"/>
        <c:lblAlgn val="ctr"/>
        <c:lblOffset val="100"/>
        <c:noMultiLvlLbl val="0"/>
      </c:catAx>
      <c:valAx>
        <c:axId val="132849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8481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4">
            <a:lumMod val="5000"/>
            <a:lumOff val="95000"/>
          </a:schemeClr>
        </a:gs>
        <a:gs pos="74000">
          <a:schemeClr val="accent4">
            <a:lumMod val="45000"/>
            <a:lumOff val="55000"/>
          </a:schemeClr>
        </a:gs>
        <a:gs pos="83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title pos="t" align="ctr" overlay="0">
      <cx:tx>
        <cx:txData>
          <cx:v>Effectif par SERVICE 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fr-F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Effectif par SERVICE </a:t>
          </a:r>
        </a:p>
      </cx:txPr>
    </cx:title>
    <cx:plotArea>
      <cx:plotAreaRegion>
        <cx:plotSurface>
          <cx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x:spPr>
        </cx:plotSurface>
        <cx:series layoutId="funnel" uniqueId="{2B97F7EF-0299-4F65-9EF5-2A7581A14A6D}">
          <cx:spPr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</cx:spPr>
          <cx:dataLabels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_xlchart.v2.3</cx:f>
      </cx:numDim>
    </cx:data>
  </cx:chartData>
  <cx:chart>
    <cx:title pos="t" align="ctr" overlay="0">
      <cx:tx>
        <cx:txData>
          <cx:v>Effectif par FONCTION 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Effectif par FONCTION </a:t>
          </a:r>
        </a:p>
      </cx:txPr>
    </cx:title>
    <cx:plotArea>
      <cx:plotAreaRegion>
        <cx:plotSurface>
          <cx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x:spPr>
        </cx:plotSurface>
        <cx:series layoutId="funnel" uniqueId="{AEC5A784-E154-438D-8C68-866933320CE9}">
          <cx:spPr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</cx:spPr>
          <cx:dataLabels>
            <cx:visibility seriesName="0" categoryName="0" value="1"/>
          </cx:dataLabels>
          <cx:dataId val="0"/>
        </cx:series>
      </cx:plotAreaRegion>
      <cx:axis id="0">
        <cx:catScaling gapWidth="0.150000006"/>
        <cx:tickLabels/>
      </cx:axis>
    </cx:plotArea>
  </cx:chart>
  <cx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title pos="t" align="ctr" overlay="0">
      <cx:tx>
        <cx:txData>
          <cx:v>Répartition des contrats par temps de travail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fr-FR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Répartition des contrats par temps de travail</a:t>
          </a:r>
        </a:p>
      </cx:txPr>
    </cx:title>
    <cx:plotArea>
      <cx:plotAreaRegion>
        <cx:series layoutId="treemap" uniqueId="{829A5099-65B4-4BAF-A64E-FFBE4225FE8A}">
          <cx:dataLabels>
            <cx:visibility seriesName="0" categoryName="1" value="0"/>
            <cx:separator>, </cx:separator>
          </cx:dataLabels>
          <cx:dataId val="0"/>
          <cx:layoutPr>
            <cx:parentLabelLayout val="banner"/>
          </cx:layoutPr>
        </cx:series>
      </cx:plotAreaRegion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</cx:chartData>
  <cx:chart>
    <cx:plotArea>
      <cx:plotAreaRegion>
        <cx:plotSurface>
          <cx:spPr>
            <a:gradFill flip="none" rotWithShape="1">
              <a:gsLst>
                <a:gs pos="0">
                  <a:schemeClr val="accent4">
                    <a:lumMod val="5000"/>
                    <a:lumOff val="95000"/>
                  </a:schemeClr>
                </a:gs>
                <a:gs pos="74000">
                  <a:schemeClr val="accent4">
                    <a:lumMod val="45000"/>
                    <a:lumOff val="55000"/>
                  </a:schemeClr>
                </a:gs>
                <a:gs pos="83000">
                  <a:schemeClr val="accent4">
                    <a:lumMod val="45000"/>
                    <a:lumOff val="55000"/>
                  </a:schemeClr>
                </a:gs>
                <a:gs pos="100000">
                  <a:schemeClr val="accent4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</cx:spPr>
        </cx:plotSurface>
        <cx:series layoutId="sunburst" uniqueId="{7DD65EF6-9C28-4DD2-B583-1B5454E51EE4}">
          <cx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8400000" scaled="0"/>
              <a:tileRect/>
            </a:gradFill>
          </cx:spPr>
          <cx:dataLabels pos="ctr">
            <cx:visibility seriesName="0" categoryName="1" value="1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="1">
                      <a:solidFill>
                        <a:sysClr val="windowText" lastClr="000000"/>
                      </a:solidFill>
                    </a:defRPr>
                  </a:pPr>
                  <a:r>
                    <a:rPr lang="fr-FR" sz="900" b="1" i="0" u="none" strike="noStrike" baseline="0">
                      <a:solidFill>
                        <a:sysClr val="windowText" lastClr="000000"/>
                      </a:solidFill>
                      <a:latin typeface="Calibri" panose="020F0502020204030204"/>
                    </a:rPr>
                    <a:t>Handicap
4</a:t>
                  </a:r>
                </a:p>
              </cx:txPr>
              <cx:separator>
</cx:separator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b="1">
                      <a:solidFill>
                        <a:sysClr val="windowText" lastClr="000000"/>
                      </a:solidFill>
                    </a:defRPr>
                  </a:pPr>
                  <a:r>
                    <a:rPr lang="fr-FR" sz="900" b="1" i="0" u="none" strike="noStrike" baseline="0">
                      <a:solidFill>
                        <a:sysClr val="windowText" lastClr="000000"/>
                      </a:solidFill>
                      <a:latin typeface="Calibri" panose="020F0502020204030204"/>
                    </a:rPr>
                    <a:t>Valilde 
46</a:t>
                  </a:r>
                </a:p>
              </cx:txPr>
              <cx:separator>
</cx:separator>
            </cx:dataLabel>
          </cx:dataLabels>
          <cx:dataId val="0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14">
  <cs:axisTitle>
    <cs:lnRef idx="0"/>
    <cs:fillRef idx="0"/>
    <cs:effectRef idx="0"/>
    <cs:fontRef idx="major">
      <a:schemeClr val="dk1">
        <a:lumMod val="50000"/>
        <a:lumOff val="50000"/>
      </a:schemeClr>
    </cs:fontRef>
    <cs:spPr>
      <a:solidFill>
        <a:schemeClr val="bg1">
          <a:lumMod val="8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ajor">
      <a:schemeClr val="dk1">
        <a:lumMod val="50000"/>
        <a:lumOff val="50000"/>
      </a:schemeClr>
    </cs:fontRef>
    <cs:defRPr sz="9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/>
    <cs:bodyPr lIns="38100" tIns="19050" rIns="38100" bIns="19050">
      <a:spAutoFit/>
    </cs:bodyPr>
  </cs:dataLabel>
  <cs:dataLabelCallout>
    <cs:lnRef idx="0"/>
    <cs:fillRef idx="0"/>
    <cs:effectRef idx="0"/>
    <cs:fontRef idx="major">
      <a:schemeClr val="dk1">
        <a:lumMod val="50000"/>
        <a:lumOff val="50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ajor">
      <a:schemeClr val="dk1">
        <a:lumMod val="50000"/>
        <a:lumOff val="50000"/>
      </a:schemeClr>
    </cs:fontRef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spc="0" normalizeH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ajor">
      <a:schemeClr val="dk1">
        <a:lumMod val="50000"/>
        <a:lumOff val="50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ajor">
      <a:schemeClr val="dk1">
        <a:lumMod val="50000"/>
        <a:lumOff val="50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microsoft.com/office/2014/relationships/chartEx" Target="../charts/chartEx1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14/relationships/chartEx" Target="../charts/chartEx4.xml"/><Relationship Id="rId2" Type="http://schemas.microsoft.com/office/2014/relationships/chartEx" Target="../charts/chartEx3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388283</xdr:colOff>
      <xdr:row>0</xdr:row>
      <xdr:rowOff>95250</xdr:rowOff>
    </xdr:from>
    <xdr:to>
      <xdr:col>13</xdr:col>
      <xdr:colOff>419829</xdr:colOff>
      <xdr:row>2</xdr:row>
      <xdr:rowOff>97267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F259020-800D-4FD3-A5DE-E55BED3D2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7136" y="95250"/>
          <a:ext cx="1051281" cy="5883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169545</xdr:colOff>
      <xdr:row>3</xdr:row>
      <xdr:rowOff>163830</xdr:rowOff>
    </xdr:from>
    <xdr:to>
      <xdr:col>6</xdr:col>
      <xdr:colOff>169545</xdr:colOff>
      <xdr:row>18</xdr:row>
      <xdr:rowOff>49530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343F18D-7E42-47FA-86BB-C68F71858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544830</xdr:colOff>
      <xdr:row>3</xdr:row>
      <xdr:rowOff>165734</xdr:rowOff>
    </xdr:from>
    <xdr:to>
      <xdr:col>12</xdr:col>
      <xdr:colOff>544830</xdr:colOff>
      <xdr:row>22</xdr:row>
      <xdr:rowOff>154304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4F8D49FF-6C12-434B-9C2F-85682789F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125730</xdr:rowOff>
    </xdr:from>
    <xdr:to>
      <xdr:col>6</xdr:col>
      <xdr:colOff>752475</xdr:colOff>
      <xdr:row>21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B1CD35A-588C-47F3-A3FD-CA1ACDD8E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331470</xdr:colOff>
      <xdr:row>2</xdr:row>
      <xdr:rowOff>152400</xdr:rowOff>
    </xdr:from>
    <xdr:to>
      <xdr:col>13</xdr:col>
      <xdr:colOff>369570</xdr:colOff>
      <xdr:row>22</xdr:row>
      <xdr:rowOff>20955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3" name="Graphique 2">
              <a:extLst>
                <a:ext uri="{FF2B5EF4-FFF2-40B4-BE49-F238E27FC236}">
                  <a16:creationId xmlns:a16="http://schemas.microsoft.com/office/drawing/2014/main" id="{9AFD10E2-C015-4149-8A36-1EB6B01C1A7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49265" y="514350"/>
              <a:ext cx="4781550" cy="34842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0</xdr:col>
      <xdr:colOff>447675</xdr:colOff>
      <xdr:row>22</xdr:row>
      <xdr:rowOff>144779</xdr:rowOff>
    </xdr:from>
    <xdr:to>
      <xdr:col>6</xdr:col>
      <xdr:colOff>762000</xdr:colOff>
      <xdr:row>42</xdr:row>
      <xdr:rowOff>66674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Graphique 3">
              <a:extLst>
                <a:ext uri="{FF2B5EF4-FFF2-40B4-BE49-F238E27FC236}">
                  <a16:creationId xmlns:a16="http://schemas.microsoft.com/office/drawing/2014/main" id="{BFA18A9C-CB2A-438F-9517-E85A8E662F92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5770" y="4124324"/>
              <a:ext cx="4745355" cy="354139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</xdr:row>
      <xdr:rowOff>131445</xdr:rowOff>
    </xdr:from>
    <xdr:to>
      <xdr:col>6</xdr:col>
      <xdr:colOff>647700</xdr:colOff>
      <xdr:row>17</xdr:row>
      <xdr:rowOff>26670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4DB646E-55B5-4347-876A-077909346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167640</xdr:colOff>
      <xdr:row>2</xdr:row>
      <xdr:rowOff>112395</xdr:rowOff>
    </xdr:from>
    <xdr:to>
      <xdr:col>13</xdr:col>
      <xdr:colOff>371475</xdr:colOff>
      <xdr:row>18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aphique 4">
              <a:extLst>
                <a:ext uri="{FF2B5EF4-FFF2-40B4-BE49-F238E27FC236}">
                  <a16:creationId xmlns:a16="http://schemas.microsoft.com/office/drawing/2014/main" id="{8FEDF69D-2208-4FC0-B92F-20530B78886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05475" y="474345"/>
              <a:ext cx="4941570" cy="279463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0</xdr:col>
      <xdr:colOff>653415</xdr:colOff>
      <xdr:row>18</xdr:row>
      <xdr:rowOff>179070</xdr:rowOff>
    </xdr:from>
    <xdr:to>
      <xdr:col>6</xdr:col>
      <xdr:colOff>619125</xdr:colOff>
      <xdr:row>33</xdr:row>
      <xdr:rowOff>64770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aphique 5">
              <a:extLst>
                <a:ext uri="{FF2B5EF4-FFF2-40B4-BE49-F238E27FC236}">
                  <a16:creationId xmlns:a16="http://schemas.microsoft.com/office/drawing/2014/main" id="{B76FB0E6-32F4-40FA-8572-702571EA60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5320" y="3434715"/>
              <a:ext cx="4709160" cy="2600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5</xdr:col>
      <xdr:colOff>285750</xdr:colOff>
      <xdr:row>24</xdr:row>
      <xdr:rowOff>171450</xdr:rowOff>
    </xdr:from>
    <xdr:to>
      <xdr:col>6</xdr:col>
      <xdr:colOff>628650</xdr:colOff>
      <xdr:row>27</xdr:row>
      <xdr:rowOff>180975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484FDF88-F84E-9AA2-2996-CEF3B97975BF}"/>
            </a:ext>
          </a:extLst>
        </xdr:cNvPr>
        <xdr:cNvSpPr txBox="1"/>
      </xdr:nvSpPr>
      <xdr:spPr>
        <a:xfrm>
          <a:off x="4095750" y="4743450"/>
          <a:ext cx="1104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chemeClr val="accent1">
                  <a:lumMod val="75000"/>
                </a:schemeClr>
              </a:solidFill>
            </a:rPr>
            <a:t>Contrats sous</a:t>
          </a:r>
          <a:r>
            <a:rPr lang="fr-FR" sz="1100" b="1" baseline="0">
              <a:solidFill>
                <a:schemeClr val="accent1">
                  <a:lumMod val="75000"/>
                </a:schemeClr>
              </a:solidFill>
            </a:rPr>
            <a:t> statut RQTH</a:t>
          </a:r>
          <a:endParaRPr lang="fr-FR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</xdr:row>
      <xdr:rowOff>19050</xdr:rowOff>
    </xdr:from>
    <xdr:to>
      <xdr:col>7</xdr:col>
      <xdr:colOff>133350</xdr:colOff>
      <xdr:row>23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8B1851F-FE85-49CC-90E0-E5358D9F4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206218</xdr:colOff>
      <xdr:row>4</xdr:row>
      <xdr:rowOff>160734</xdr:rowOff>
    </xdr:from>
    <xdr:to>
      <xdr:col>5</xdr:col>
      <xdr:colOff>398860</xdr:colOff>
      <xdr:row>18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A80BF39-AC68-4BC6-AFED-0CC2736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567690</xdr:colOff>
      <xdr:row>4</xdr:row>
      <xdr:rowOff>154781</xdr:rowOff>
    </xdr:from>
    <xdr:to>
      <xdr:col>11</xdr:col>
      <xdr:colOff>250031</xdr:colOff>
      <xdr:row>18</xdr:row>
      <xdr:rowOff>83343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2BCB970E-1C36-4AA5-AAE8-0A749E9F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C7C4A-4A4D-456A-9E85-242C883AC4A0}">
  <sheetPr>
    <tabColor rgb="FFC00000"/>
  </sheetPr>
  <dimension ref="A1:BE76"/>
  <sheetViews>
    <sheetView tabSelected="1" topLeftCell="H1" zoomScale="85" zoomScaleNormal="85" workbookViewId="0">
      <selection activeCell="O15" sqref="O15"/>
    </sheetView>
  </sheetViews>
  <sheetFormatPr baseColWidth="10" defaultRowHeight="14.4" x14ac:dyDescent="0.3"/>
  <cols>
    <col min="1" max="1" width="5.33203125" style="12" customWidth="1"/>
    <col min="2" max="2" width="12.44140625" style="16" customWidth="1"/>
    <col min="3" max="3" width="14.109375" style="4" customWidth="1"/>
    <col min="4" max="4" width="13.109375" style="4" customWidth="1"/>
    <col min="5" max="5" width="13.109375" style="6" customWidth="1"/>
    <col min="6" max="6" width="16.44140625" style="6" customWidth="1"/>
    <col min="7" max="7" width="12.88671875" style="7" customWidth="1"/>
    <col min="8" max="8" width="12.44140625" customWidth="1"/>
    <col min="9" max="9" width="8" style="4" customWidth="1"/>
    <col min="10" max="10" width="24" style="4" customWidth="1"/>
    <col min="11" max="12" width="14.88671875" style="4" customWidth="1"/>
    <col min="13" max="13" width="15.33203125" style="4" customWidth="1"/>
    <col min="14" max="14" width="16.6640625" style="4" bestFit="1" customWidth="1"/>
    <col min="15" max="15" width="17.44140625" style="4" bestFit="1" customWidth="1"/>
    <col min="16" max="16" width="11.44140625" style="4"/>
    <col min="17" max="17" width="20.109375" style="4" customWidth="1"/>
    <col min="18" max="18" width="14.5546875" style="4" customWidth="1"/>
    <col min="19" max="19" width="18.5546875" style="8" customWidth="1"/>
    <col min="20" max="20" width="17.88671875" style="9" customWidth="1"/>
    <col min="21" max="21" width="20.5546875" style="9" customWidth="1"/>
    <col min="22" max="22" width="17.109375" style="10" customWidth="1"/>
    <col min="23" max="23" width="16.6640625" style="10" customWidth="1"/>
    <col min="24" max="26" width="20.5546875" style="9" customWidth="1"/>
    <col min="27" max="27" width="32.109375" style="4" customWidth="1"/>
    <col min="28" max="28" width="46.33203125" style="11" customWidth="1"/>
    <col min="29" max="29" width="17.44140625" hidden="1" customWidth="1"/>
    <col min="30" max="32" width="17.88671875" hidden="1" customWidth="1"/>
    <col min="33" max="33" width="0" hidden="1" customWidth="1"/>
    <col min="34" max="34" width="13.109375" hidden="1" customWidth="1"/>
    <col min="35" max="43" width="0" hidden="1" customWidth="1"/>
    <col min="44" max="44" width="10.88671875" hidden="1" customWidth="1"/>
    <col min="45" max="54" width="0" hidden="1" customWidth="1"/>
    <col min="55" max="55" width="13.109375" hidden="1" customWidth="1"/>
    <col min="56" max="56" width="0" hidden="1" customWidth="1"/>
    <col min="57" max="57" width="13.109375" hidden="1" customWidth="1"/>
  </cols>
  <sheetData>
    <row r="1" spans="1:57" ht="31.2" x14ac:dyDescent="0.6">
      <c r="A1" s="2" t="s">
        <v>7</v>
      </c>
      <c r="B1" s="3"/>
      <c r="E1" s="5"/>
    </row>
    <row r="3" spans="1:57" x14ac:dyDescent="0.3">
      <c r="B3" s="6" t="s">
        <v>8</v>
      </c>
      <c r="C3" s="13">
        <f ca="1">TODAY()</f>
        <v>44867</v>
      </c>
    </row>
    <row r="4" spans="1:57" x14ac:dyDescent="0.3">
      <c r="B4" s="6"/>
      <c r="C4" s="13"/>
    </row>
    <row r="5" spans="1:57" ht="15.6" x14ac:dyDescent="0.3">
      <c r="B5" s="14"/>
      <c r="BB5" s="15">
        <f ca="1">DATE(YEAR($C$3),1,1)</f>
        <v>44562</v>
      </c>
      <c r="BC5" s="15">
        <f ca="1">DATE(YEAR($C$3)-1,1,1)</f>
        <v>44197</v>
      </c>
      <c r="BD5" s="15">
        <f ca="1">DATE(YEAR($C$3),1,1)</f>
        <v>44562</v>
      </c>
      <c r="BE5" s="15">
        <f ca="1">DATE(YEAR($C$3)-1,1,1)</f>
        <v>44197</v>
      </c>
    </row>
    <row r="6" spans="1:57" ht="15.6" x14ac:dyDescent="0.3">
      <c r="AC6" s="17" t="s">
        <v>9</v>
      </c>
      <c r="AT6" s="18" t="s">
        <v>10</v>
      </c>
      <c r="AU6" s="18" t="s">
        <v>10</v>
      </c>
      <c r="AV6" s="18" t="s">
        <v>10</v>
      </c>
      <c r="AW6" s="18" t="s">
        <v>10</v>
      </c>
      <c r="AX6" s="18" t="s">
        <v>10</v>
      </c>
      <c r="AY6" s="18" t="s">
        <v>10</v>
      </c>
      <c r="AZ6" s="18" t="s">
        <v>10</v>
      </c>
      <c r="BA6" s="18" t="s">
        <v>10</v>
      </c>
      <c r="BB6" s="18" t="s">
        <v>11</v>
      </c>
      <c r="BC6" s="18" t="s">
        <v>11</v>
      </c>
      <c r="BD6" s="18" t="s">
        <v>11</v>
      </c>
      <c r="BE6" s="18" t="s">
        <v>11</v>
      </c>
    </row>
    <row r="7" spans="1:57" s="24" customFormat="1" ht="76.5" customHeight="1" x14ac:dyDescent="0.3">
      <c r="A7" s="19" t="s">
        <v>12</v>
      </c>
      <c r="B7" s="20" t="s">
        <v>13</v>
      </c>
      <c r="C7" s="19" t="s">
        <v>14</v>
      </c>
      <c r="D7" s="19" t="s">
        <v>15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20</v>
      </c>
      <c r="J7" s="19" t="s">
        <v>21</v>
      </c>
      <c r="K7" s="19" t="s">
        <v>22</v>
      </c>
      <c r="L7" s="19" t="s">
        <v>282</v>
      </c>
      <c r="M7" s="19" t="s">
        <v>23</v>
      </c>
      <c r="N7" s="19" t="s">
        <v>24</v>
      </c>
      <c r="O7" s="19" t="s">
        <v>25</v>
      </c>
      <c r="P7" s="19" t="s">
        <v>26</v>
      </c>
      <c r="Q7" s="19" t="s">
        <v>27</v>
      </c>
      <c r="R7" s="19" t="s">
        <v>28</v>
      </c>
      <c r="S7" s="21" t="s">
        <v>29</v>
      </c>
      <c r="T7" s="19" t="s">
        <v>30</v>
      </c>
      <c r="U7" s="19" t="s">
        <v>31</v>
      </c>
      <c r="V7" s="21" t="s">
        <v>32</v>
      </c>
      <c r="W7" s="21" t="s">
        <v>33</v>
      </c>
      <c r="X7" s="19" t="s">
        <v>34</v>
      </c>
      <c r="Y7" s="19" t="s">
        <v>35</v>
      </c>
      <c r="Z7" s="19" t="s">
        <v>36</v>
      </c>
      <c r="AA7" s="22" t="s">
        <v>37</v>
      </c>
      <c r="AB7" s="22" t="s">
        <v>38</v>
      </c>
      <c r="AC7" s="23" t="s">
        <v>39</v>
      </c>
      <c r="AD7" s="23" t="s">
        <v>40</v>
      </c>
      <c r="AE7" s="23" t="s">
        <v>41</v>
      </c>
      <c r="AF7" s="23" t="s">
        <v>42</v>
      </c>
      <c r="AG7" s="23" t="s">
        <v>43</v>
      </c>
      <c r="AH7" s="23" t="s">
        <v>44</v>
      </c>
      <c r="AI7" s="23" t="s">
        <v>45</v>
      </c>
      <c r="AJ7" s="23" t="s">
        <v>46</v>
      </c>
      <c r="AK7" s="23" t="s">
        <v>47</v>
      </c>
      <c r="AL7" s="23" t="s">
        <v>48</v>
      </c>
      <c r="AM7" s="23" t="s">
        <v>49</v>
      </c>
      <c r="AN7" s="23" t="s">
        <v>50</v>
      </c>
      <c r="AO7" s="23" t="s">
        <v>51</v>
      </c>
      <c r="AP7" s="23" t="s">
        <v>52</v>
      </c>
      <c r="AQ7" s="23" t="s">
        <v>53</v>
      </c>
      <c r="AR7" s="23" t="s">
        <v>54</v>
      </c>
      <c r="AS7" s="23" t="s">
        <v>55</v>
      </c>
      <c r="AT7" s="23" t="s">
        <v>46</v>
      </c>
      <c r="AU7" s="23" t="s">
        <v>47</v>
      </c>
      <c r="AV7" s="23" t="s">
        <v>48</v>
      </c>
      <c r="AW7" s="23" t="s">
        <v>49</v>
      </c>
      <c r="AX7" s="23" t="s">
        <v>50</v>
      </c>
      <c r="AY7" s="23" t="s">
        <v>51</v>
      </c>
      <c r="AZ7" s="23" t="s">
        <v>52</v>
      </c>
      <c r="BA7" s="23" t="s">
        <v>53</v>
      </c>
      <c r="BB7" s="23" t="s">
        <v>56</v>
      </c>
      <c r="BC7" s="23" t="s">
        <v>57</v>
      </c>
      <c r="BD7" s="23" t="s">
        <v>58</v>
      </c>
      <c r="BE7" s="23" t="s">
        <v>59</v>
      </c>
    </row>
    <row r="8" spans="1:57" x14ac:dyDescent="0.3">
      <c r="A8" s="25">
        <v>1</v>
      </c>
      <c r="B8" s="26" t="s">
        <v>60</v>
      </c>
      <c r="C8" s="27">
        <v>41736</v>
      </c>
      <c r="D8" s="27"/>
      <c r="E8" s="28" t="str">
        <f>IF(AND(ISBLANK(D8),ISBLANK(C8)),"",IF(ISBLANK(D8),"Oui","Non"))</f>
        <v>Oui</v>
      </c>
      <c r="F8" s="29" t="s">
        <v>61</v>
      </c>
      <c r="G8" s="30" t="s">
        <v>62</v>
      </c>
      <c r="H8" s="31" t="s">
        <v>63</v>
      </c>
      <c r="I8" s="32" t="s">
        <v>64</v>
      </c>
      <c r="J8" s="32" t="s">
        <v>65</v>
      </c>
      <c r="K8" s="27">
        <v>29318</v>
      </c>
      <c r="L8" s="74">
        <f ca="1">TODAY()-K8</f>
        <v>15549</v>
      </c>
      <c r="M8" s="27" t="s">
        <v>66</v>
      </c>
      <c r="N8" s="32" t="s">
        <v>67</v>
      </c>
      <c r="O8" s="32" t="s">
        <v>68</v>
      </c>
      <c r="P8" s="32">
        <v>1</v>
      </c>
      <c r="Q8" s="32" t="s">
        <v>69</v>
      </c>
      <c r="R8" s="32">
        <v>1</v>
      </c>
      <c r="S8" s="33">
        <v>4700</v>
      </c>
      <c r="T8" s="34" t="s">
        <v>70</v>
      </c>
      <c r="U8" s="34" t="s">
        <v>71</v>
      </c>
      <c r="V8" s="35"/>
      <c r="W8" s="35"/>
      <c r="X8" s="34"/>
      <c r="Y8" s="34"/>
      <c r="Z8" s="34"/>
      <c r="AA8" s="32"/>
      <c r="AB8" s="36" t="s">
        <v>72</v>
      </c>
      <c r="AC8" s="31">
        <f t="shared" ref="AC8:AC57" ca="1" si="0">IF(ISBLANK(C8),"",IF(ISBLANK($D8),$C$3-C8,D8-C8))</f>
        <v>3131</v>
      </c>
      <c r="AD8" s="31">
        <f t="shared" ref="AD8:AD57" si="1">IF(E8="Oui",1,"")</f>
        <v>1</v>
      </c>
      <c r="AE8" s="31" t="str">
        <f t="shared" ref="AE8:AE57" si="2">IF(I8="F",AD8,"")</f>
        <v/>
      </c>
      <c r="AF8" s="31">
        <f t="shared" ref="AF8:AF57" si="3">IF(I8="M",AD8,"")</f>
        <v>1</v>
      </c>
      <c r="AG8" s="31">
        <f t="shared" ref="AG8:AG57" si="4">IF(E8="Oui",P8,"")</f>
        <v>1</v>
      </c>
      <c r="AH8" s="37">
        <f t="shared" ref="AH8:AH14" ca="1" si="5">IF(E8="Oui",($C$3-K8)/365,"")</f>
        <v>42.6</v>
      </c>
      <c r="AI8" s="31" t="str">
        <f t="shared" ref="AI8:AI57" si="6">IF(AND($E8="Oui",M8="Oui"),1,"")</f>
        <v/>
      </c>
      <c r="AJ8" s="31">
        <f>IF(AND($E8="Oui",$N8="CDI"),1,"")</f>
        <v>1</v>
      </c>
      <c r="AK8" s="31" t="str">
        <f>IF(AND($E8="Oui",$N8="CDD"),1,"")</f>
        <v/>
      </c>
      <c r="AL8" s="31" t="str">
        <f>IF(AND($E8="Oui",$N8="Apprentissage"),1,"")</f>
        <v/>
      </c>
      <c r="AM8" s="31" t="str">
        <f>IF(AND($E8="Oui",$N8="Stage"),1,"")</f>
        <v/>
      </c>
      <c r="AN8" s="31" t="str">
        <f>IF(AND($E8="Oui",$N8="Autre"),1,"")</f>
        <v/>
      </c>
      <c r="AO8" s="31">
        <f>IF(AND($E8="Oui",$Q8="Cadre"),1,"")</f>
        <v>1</v>
      </c>
      <c r="AP8" s="31" t="str">
        <f>IF(AND($E8="Oui",$Q8="Agent de maîtrise"),1,"")</f>
        <v/>
      </c>
      <c r="AQ8" s="31" t="str">
        <f>IF(AND($E8="Oui",$Q8="Autre"),1,"")</f>
        <v/>
      </c>
      <c r="AR8" s="37" t="str">
        <f>IF(AND($E8="Oui",$I8="F"),($C$3-$K8)/365,"")</f>
        <v/>
      </c>
      <c r="AS8" s="37">
        <f ca="1">IF(AND($E8="Oui",$I8="M"),($C$3-$K8)/365,"")</f>
        <v>42.6</v>
      </c>
      <c r="AT8" s="31" t="str">
        <f>IF(AND($E8="Oui",$N8="CDI",$I8="F"),1,"")</f>
        <v/>
      </c>
      <c r="AU8" s="31" t="str">
        <f>IF(AND($E8="Oui",$N8="CDD",$I8="F"),1,"")</f>
        <v/>
      </c>
      <c r="AV8" s="31" t="str">
        <f>IF(AND($E8="Oui",$N8="Apprentissage",$I8="F"),1,"")</f>
        <v/>
      </c>
      <c r="AW8" s="31" t="str">
        <f>IF(AND($E8="Oui",$N8="Stage",$I8="F"),1,"")</f>
        <v/>
      </c>
      <c r="AX8" s="31" t="str">
        <f>IF(AND($E8="Oui",$N8="Autre",$I8="F"),1,"")</f>
        <v/>
      </c>
      <c r="AY8" s="31" t="str">
        <f>IF(AND($E8="Oui",$Q8="Cadre",$I8="F"),1,"")</f>
        <v/>
      </c>
      <c r="AZ8" s="31" t="str">
        <f>IF(AND($E8="Oui",$Q8="Agent de maîtrise",$I8="F"),1,"")</f>
        <v/>
      </c>
      <c r="BA8" s="31" t="str">
        <f>IF(AND($E8="Oui",$Q8="Autre",$I8="F"),1,"")</f>
        <v/>
      </c>
      <c r="BB8" s="31" t="str">
        <f t="shared" ref="BB8:BB39" ca="1" si="7">IF($D8&gt;$BB$5,1,"")</f>
        <v/>
      </c>
      <c r="BC8" s="31" t="str">
        <f t="shared" ref="BC8:BC39" ca="1" si="8">IF(AND($D8&gt;$BC$5,$D8&lt;$BB$5),1,"")</f>
        <v/>
      </c>
      <c r="BD8" s="31" t="str">
        <f t="shared" ref="BD8:BD39" ca="1" si="9">IF($C8&gt;$BB$5,1,"")</f>
        <v/>
      </c>
      <c r="BE8" s="31" t="str">
        <f t="shared" ref="BE8:BE39" ca="1" si="10">IF(AND($C8&gt;$BC$5,$C8&lt;$BB$5),1,"")</f>
        <v/>
      </c>
    </row>
    <row r="9" spans="1:57" x14ac:dyDescent="0.3">
      <c r="A9" s="25">
        <v>2</v>
      </c>
      <c r="B9" s="38" t="s">
        <v>73</v>
      </c>
      <c r="C9" s="39">
        <v>42498</v>
      </c>
      <c r="D9" s="39">
        <v>44203</v>
      </c>
      <c r="E9" s="40" t="str">
        <f t="shared" ref="E9:E57" si="11">IF(AND(ISBLANK(D9),ISBLANK(C9)),"",IF(ISBLANK(D9),"Oui","Non"))</f>
        <v>Non</v>
      </c>
      <c r="F9" s="41" t="s">
        <v>74</v>
      </c>
      <c r="G9" s="42" t="s">
        <v>75</v>
      </c>
      <c r="H9" s="43" t="s">
        <v>63</v>
      </c>
      <c r="I9" s="44" t="s">
        <v>64</v>
      </c>
      <c r="J9" s="44" t="s">
        <v>76</v>
      </c>
      <c r="K9" s="39">
        <v>28953</v>
      </c>
      <c r="L9" s="74">
        <f t="shared" ref="L9:L57" ca="1" si="12">TODAY()-K9</f>
        <v>15914</v>
      </c>
      <c r="M9" s="39" t="s">
        <v>66</v>
      </c>
      <c r="N9" s="44" t="s">
        <v>67</v>
      </c>
      <c r="O9" s="45">
        <v>0.75</v>
      </c>
      <c r="P9" s="44">
        <v>0.75</v>
      </c>
      <c r="Q9" s="44" t="s">
        <v>77</v>
      </c>
      <c r="R9" s="44">
        <v>3</v>
      </c>
      <c r="S9" s="46">
        <v>2030</v>
      </c>
      <c r="T9" s="47" t="s">
        <v>78</v>
      </c>
      <c r="U9" s="47" t="s">
        <v>79</v>
      </c>
      <c r="V9" s="48"/>
      <c r="W9" s="48"/>
      <c r="X9" s="47"/>
      <c r="Y9" s="34"/>
      <c r="Z9" s="34"/>
      <c r="AA9" s="32" t="s">
        <v>80</v>
      </c>
      <c r="AB9" s="36"/>
      <c r="AC9" s="31">
        <f t="shared" si="0"/>
        <v>1705</v>
      </c>
      <c r="AD9" s="31" t="str">
        <f t="shared" si="1"/>
        <v/>
      </c>
      <c r="AE9" s="31" t="str">
        <f t="shared" si="2"/>
        <v/>
      </c>
      <c r="AF9" s="31" t="str">
        <f t="shared" si="3"/>
        <v/>
      </c>
      <c r="AG9" s="31" t="str">
        <f t="shared" si="4"/>
        <v/>
      </c>
      <c r="AH9" s="37" t="str">
        <f t="shared" si="5"/>
        <v/>
      </c>
      <c r="AI9" s="31" t="str">
        <f t="shared" si="6"/>
        <v/>
      </c>
      <c r="AJ9" s="31" t="str">
        <f t="shared" ref="AJ9:AJ57" si="13">IF(AND($E9="Oui",$N9="CDI"),1,"")</f>
        <v/>
      </c>
      <c r="AK9" s="31" t="str">
        <f t="shared" ref="AK9:AK57" si="14">IF(AND($E9="Oui",$N9="CDD"),1,"")</f>
        <v/>
      </c>
      <c r="AL9" s="31" t="str">
        <f t="shared" ref="AL9:AL57" si="15">IF(AND($E9="Oui",$N9="Apprentissage"),1,"")</f>
        <v/>
      </c>
      <c r="AM9" s="31" t="str">
        <f t="shared" ref="AM9:AM57" si="16">IF(AND($E9="Oui",$N9="Stage"),1,"")</f>
        <v/>
      </c>
      <c r="AN9" s="31" t="str">
        <f t="shared" ref="AN9:AN57" si="17">IF(AND($E9="Oui",$N9="Autre"),1,"")</f>
        <v/>
      </c>
      <c r="AO9" s="31" t="str">
        <f t="shared" ref="AO9:AO57" si="18">IF(AND($E9="Oui",$Q9="Cadre"),1,"")</f>
        <v/>
      </c>
      <c r="AP9" s="31" t="str">
        <f t="shared" ref="AP9:AP57" si="19">IF(AND($E9="Oui",$Q9="Agent de maîtrise"),1,"")</f>
        <v/>
      </c>
      <c r="AQ9" s="31" t="str">
        <f t="shared" ref="AQ9:AQ57" si="20">IF(AND($E9="Oui",$Q9="Autre"),1,"")</f>
        <v/>
      </c>
      <c r="AR9" s="37" t="str">
        <f t="shared" ref="AR9:AR14" si="21">IF(AND($E9="Oui",$I9="F"),($C$3-K9)/365,"")</f>
        <v/>
      </c>
      <c r="AS9" s="37" t="str">
        <f t="shared" ref="AS9:AS57" si="22">IF(AND($E9="Oui",$I9="M"),($C$3-$K9)/365,"")</f>
        <v/>
      </c>
      <c r="AT9" s="31" t="str">
        <f t="shared" ref="AT9:AT57" si="23">IF(AND($E9="Oui",$N9="CDI",$I9="F"),1,"")</f>
        <v/>
      </c>
      <c r="AU9" s="31" t="str">
        <f t="shared" ref="AU9:AU57" si="24">IF(AND($E9="Oui",$N9="CDD",$I9="F"),1,"")</f>
        <v/>
      </c>
      <c r="AV9" s="31" t="str">
        <f t="shared" ref="AV9:AV57" si="25">IF(AND($E9="Oui",$N9="Apprentissage",$I9="F"),1,"")</f>
        <v/>
      </c>
      <c r="AW9" s="31" t="str">
        <f t="shared" ref="AW9:AW57" si="26">IF(AND($E9="Oui",$N9="Stage",$I9="F"),1,"")</f>
        <v/>
      </c>
      <c r="AX9" s="31" t="str">
        <f t="shared" ref="AX9:AX57" si="27">IF(AND($E9="Oui",$N9="Autre",$I9="F"),1,"")</f>
        <v/>
      </c>
      <c r="AY9" s="31" t="str">
        <f t="shared" ref="AY9:AY57" si="28">IF(AND($E9="Oui",$Q9="Cadre",$I9="F"),1,"")</f>
        <v/>
      </c>
      <c r="AZ9" s="31" t="str">
        <f t="shared" ref="AZ9:AZ57" si="29">IF(AND($E9="Oui",$Q9="Agent de maîtrise",$I9="F"),1,"")</f>
        <v/>
      </c>
      <c r="BA9" s="31" t="str">
        <f t="shared" ref="BA9:BA57" si="30">IF(AND($E9="Oui",$Q9="Autre",$I9="F"),1,"")</f>
        <v/>
      </c>
      <c r="BB9" s="31" t="str">
        <f t="shared" ca="1" si="7"/>
        <v/>
      </c>
      <c r="BC9" s="31">
        <f t="shared" ca="1" si="8"/>
        <v>1</v>
      </c>
      <c r="BD9" s="31" t="str">
        <f t="shared" ca="1" si="9"/>
        <v/>
      </c>
      <c r="BE9" s="31" t="str">
        <f t="shared" ca="1" si="10"/>
        <v/>
      </c>
    </row>
    <row r="10" spans="1:57" x14ac:dyDescent="0.3">
      <c r="A10" s="25">
        <v>3</v>
      </c>
      <c r="B10" s="26" t="s">
        <v>81</v>
      </c>
      <c r="C10" s="27">
        <v>44295</v>
      </c>
      <c r="D10" s="27"/>
      <c r="E10" s="28" t="str">
        <f t="shared" si="11"/>
        <v>Oui</v>
      </c>
      <c r="F10" s="29" t="s">
        <v>82</v>
      </c>
      <c r="G10" s="30" t="s">
        <v>83</v>
      </c>
      <c r="H10" s="31" t="s">
        <v>63</v>
      </c>
      <c r="I10" s="32" t="s">
        <v>84</v>
      </c>
      <c r="J10" s="32" t="s">
        <v>85</v>
      </c>
      <c r="K10" s="27">
        <v>23841</v>
      </c>
      <c r="L10" s="74">
        <f t="shared" ca="1" si="12"/>
        <v>21026</v>
      </c>
      <c r="M10" s="27" t="s">
        <v>66</v>
      </c>
      <c r="N10" s="32" t="s">
        <v>86</v>
      </c>
      <c r="O10" s="32" t="s">
        <v>68</v>
      </c>
      <c r="P10" s="32">
        <v>1</v>
      </c>
      <c r="Q10" s="32" t="s">
        <v>77</v>
      </c>
      <c r="R10" s="32">
        <v>3</v>
      </c>
      <c r="S10" s="33">
        <v>2340</v>
      </c>
      <c r="T10" s="34" t="s">
        <v>87</v>
      </c>
      <c r="U10" s="34" t="s">
        <v>88</v>
      </c>
      <c r="V10" s="35"/>
      <c r="W10" s="35"/>
      <c r="X10" s="34"/>
      <c r="Y10" s="34"/>
      <c r="Z10" s="34"/>
      <c r="AA10" s="32"/>
      <c r="AB10" s="36"/>
      <c r="AC10" s="31">
        <f t="shared" ca="1" si="0"/>
        <v>572</v>
      </c>
      <c r="AD10" s="31">
        <f t="shared" si="1"/>
        <v>1</v>
      </c>
      <c r="AE10" s="31">
        <f t="shared" si="2"/>
        <v>1</v>
      </c>
      <c r="AF10" s="31" t="str">
        <f t="shared" si="3"/>
        <v/>
      </c>
      <c r="AG10" s="31">
        <f t="shared" si="4"/>
        <v>1</v>
      </c>
      <c r="AH10" s="37">
        <f t="shared" ca="1" si="5"/>
        <v>57.605479452054794</v>
      </c>
      <c r="AI10" s="31" t="str">
        <f t="shared" si="6"/>
        <v/>
      </c>
      <c r="AJ10" s="31" t="str">
        <f t="shared" si="13"/>
        <v/>
      </c>
      <c r="AK10" s="31">
        <f t="shared" si="14"/>
        <v>1</v>
      </c>
      <c r="AL10" s="31" t="str">
        <f t="shared" si="15"/>
        <v/>
      </c>
      <c r="AM10" s="31" t="str">
        <f t="shared" si="16"/>
        <v/>
      </c>
      <c r="AN10" s="31" t="str">
        <f t="shared" si="17"/>
        <v/>
      </c>
      <c r="AO10" s="31" t="str">
        <f t="shared" si="18"/>
        <v/>
      </c>
      <c r="AP10" s="31" t="str">
        <f t="shared" si="19"/>
        <v/>
      </c>
      <c r="AQ10" s="31">
        <f t="shared" si="20"/>
        <v>1</v>
      </c>
      <c r="AR10" s="37">
        <f t="shared" ca="1" si="21"/>
        <v>57.605479452054794</v>
      </c>
      <c r="AS10" s="37" t="str">
        <f t="shared" si="22"/>
        <v/>
      </c>
      <c r="AT10" s="31" t="str">
        <f t="shared" si="23"/>
        <v/>
      </c>
      <c r="AU10" s="31">
        <f t="shared" si="24"/>
        <v>1</v>
      </c>
      <c r="AV10" s="31" t="str">
        <f t="shared" si="25"/>
        <v/>
      </c>
      <c r="AW10" s="31" t="str">
        <f t="shared" si="26"/>
        <v/>
      </c>
      <c r="AX10" s="31" t="str">
        <f t="shared" si="27"/>
        <v/>
      </c>
      <c r="AY10" s="31" t="str">
        <f t="shared" si="28"/>
        <v/>
      </c>
      <c r="AZ10" s="31" t="str">
        <f t="shared" si="29"/>
        <v/>
      </c>
      <c r="BA10" s="31">
        <f t="shared" si="30"/>
        <v>1</v>
      </c>
      <c r="BB10" s="31" t="str">
        <f t="shared" ca="1" si="7"/>
        <v/>
      </c>
      <c r="BC10" s="31" t="str">
        <f t="shared" ca="1" si="8"/>
        <v/>
      </c>
      <c r="BD10" s="31" t="str">
        <f t="shared" ca="1" si="9"/>
        <v/>
      </c>
      <c r="BE10" s="31">
        <f t="shared" ca="1" si="10"/>
        <v>1</v>
      </c>
    </row>
    <row r="11" spans="1:57" x14ac:dyDescent="0.3">
      <c r="A11" s="25">
        <v>4</v>
      </c>
      <c r="B11" s="26" t="s">
        <v>89</v>
      </c>
      <c r="C11" s="27">
        <v>43931</v>
      </c>
      <c r="D11" s="27"/>
      <c r="E11" s="28" t="str">
        <f t="shared" si="11"/>
        <v>Oui</v>
      </c>
      <c r="F11" s="29" t="s">
        <v>90</v>
      </c>
      <c r="G11" s="30" t="s">
        <v>91</v>
      </c>
      <c r="H11" s="31" t="s">
        <v>63</v>
      </c>
      <c r="I11" s="32" t="s">
        <v>84</v>
      </c>
      <c r="J11" s="32" t="s">
        <v>65</v>
      </c>
      <c r="K11" s="27">
        <v>31147</v>
      </c>
      <c r="L11" s="74">
        <f t="shared" ca="1" si="12"/>
        <v>13720</v>
      </c>
      <c r="M11" s="27" t="s">
        <v>66</v>
      </c>
      <c r="N11" s="32" t="s">
        <v>67</v>
      </c>
      <c r="O11" s="32" t="s">
        <v>68</v>
      </c>
      <c r="P11" s="32">
        <v>1</v>
      </c>
      <c r="Q11" s="32" t="s">
        <v>92</v>
      </c>
      <c r="R11" s="32">
        <v>2</v>
      </c>
      <c r="S11" s="33">
        <v>3980</v>
      </c>
      <c r="T11" s="34" t="s">
        <v>93</v>
      </c>
      <c r="U11" s="34" t="s">
        <v>94</v>
      </c>
      <c r="V11" s="35">
        <v>1278251</v>
      </c>
      <c r="W11" s="35">
        <v>1573025</v>
      </c>
      <c r="X11" s="34"/>
      <c r="Y11" s="34"/>
      <c r="Z11" s="34"/>
      <c r="AA11" s="32"/>
      <c r="AB11" s="36"/>
      <c r="AC11" s="31">
        <f t="shared" ca="1" si="0"/>
        <v>936</v>
      </c>
      <c r="AD11" s="31">
        <f t="shared" si="1"/>
        <v>1</v>
      </c>
      <c r="AE11" s="31">
        <f t="shared" si="2"/>
        <v>1</v>
      </c>
      <c r="AF11" s="31" t="str">
        <f t="shared" si="3"/>
        <v/>
      </c>
      <c r="AG11" s="31">
        <f t="shared" si="4"/>
        <v>1</v>
      </c>
      <c r="AH11" s="37">
        <f t="shared" ca="1" si="5"/>
        <v>37.589041095890408</v>
      </c>
      <c r="AI11" s="31" t="str">
        <f t="shared" si="6"/>
        <v/>
      </c>
      <c r="AJ11" s="31">
        <f t="shared" si="13"/>
        <v>1</v>
      </c>
      <c r="AK11" s="31" t="str">
        <f t="shared" si="14"/>
        <v/>
      </c>
      <c r="AL11" s="31" t="str">
        <f t="shared" si="15"/>
        <v/>
      </c>
      <c r="AM11" s="31" t="str">
        <f t="shared" si="16"/>
        <v/>
      </c>
      <c r="AN11" s="31" t="str">
        <f t="shared" si="17"/>
        <v/>
      </c>
      <c r="AO11" s="31" t="str">
        <f t="shared" si="18"/>
        <v/>
      </c>
      <c r="AP11" s="31">
        <f t="shared" si="19"/>
        <v>1</v>
      </c>
      <c r="AQ11" s="31" t="str">
        <f t="shared" si="20"/>
        <v/>
      </c>
      <c r="AR11" s="37">
        <f t="shared" ca="1" si="21"/>
        <v>37.589041095890408</v>
      </c>
      <c r="AS11" s="37" t="str">
        <f t="shared" si="22"/>
        <v/>
      </c>
      <c r="AT11" s="31">
        <f t="shared" si="23"/>
        <v>1</v>
      </c>
      <c r="AU11" s="31" t="str">
        <f t="shared" si="24"/>
        <v/>
      </c>
      <c r="AV11" s="31" t="str">
        <f t="shared" si="25"/>
        <v/>
      </c>
      <c r="AW11" s="31" t="str">
        <f t="shared" si="26"/>
        <v/>
      </c>
      <c r="AX11" s="31" t="str">
        <f t="shared" si="27"/>
        <v/>
      </c>
      <c r="AY11" s="31" t="str">
        <f t="shared" si="28"/>
        <v/>
      </c>
      <c r="AZ11" s="31">
        <f t="shared" si="29"/>
        <v>1</v>
      </c>
      <c r="BA11" s="31" t="str">
        <f t="shared" si="30"/>
        <v/>
      </c>
      <c r="BB11" s="31" t="str">
        <f t="shared" ca="1" si="7"/>
        <v/>
      </c>
      <c r="BC11" s="31" t="str">
        <f t="shared" ca="1" si="8"/>
        <v/>
      </c>
      <c r="BD11" s="31" t="str">
        <f t="shared" ca="1" si="9"/>
        <v/>
      </c>
      <c r="BE11" s="31" t="str">
        <f t="shared" ca="1" si="10"/>
        <v/>
      </c>
    </row>
    <row r="12" spans="1:57" x14ac:dyDescent="0.3">
      <c r="A12" s="25">
        <v>5</v>
      </c>
      <c r="B12" s="38" t="s">
        <v>95</v>
      </c>
      <c r="C12" s="39">
        <v>43201</v>
      </c>
      <c r="D12" s="39"/>
      <c r="E12" s="40" t="str">
        <f t="shared" si="11"/>
        <v>Oui</v>
      </c>
      <c r="F12" s="41" t="s">
        <v>96</v>
      </c>
      <c r="G12" s="42" t="s">
        <v>97</v>
      </c>
      <c r="H12" s="43" t="s">
        <v>98</v>
      </c>
      <c r="I12" s="44" t="s">
        <v>64</v>
      </c>
      <c r="J12" s="44" t="s">
        <v>65</v>
      </c>
      <c r="K12" s="39">
        <v>30508</v>
      </c>
      <c r="L12" s="74">
        <f t="shared" ca="1" si="12"/>
        <v>14359</v>
      </c>
      <c r="M12" s="39" t="s">
        <v>66</v>
      </c>
      <c r="N12" s="44" t="s">
        <v>99</v>
      </c>
      <c r="O12" s="45">
        <v>0.5</v>
      </c>
      <c r="P12" s="44">
        <v>0.5</v>
      </c>
      <c r="Q12" s="44" t="s">
        <v>77</v>
      </c>
      <c r="R12" s="44">
        <v>3</v>
      </c>
      <c r="S12" s="46">
        <v>1450</v>
      </c>
      <c r="T12" s="47" t="s">
        <v>93</v>
      </c>
      <c r="U12" s="47" t="s">
        <v>100</v>
      </c>
      <c r="V12" s="48">
        <v>756230</v>
      </c>
      <c r="W12" s="48">
        <v>780264</v>
      </c>
      <c r="X12" s="47"/>
      <c r="Y12" s="34"/>
      <c r="Z12" s="34"/>
      <c r="AA12" s="32"/>
      <c r="AB12" s="36"/>
      <c r="AC12" s="31">
        <f t="shared" ca="1" si="0"/>
        <v>1666</v>
      </c>
      <c r="AD12" s="31">
        <f t="shared" si="1"/>
        <v>1</v>
      </c>
      <c r="AE12" s="31" t="str">
        <f t="shared" si="2"/>
        <v/>
      </c>
      <c r="AF12" s="31">
        <f t="shared" si="3"/>
        <v>1</v>
      </c>
      <c r="AG12" s="31">
        <f t="shared" si="4"/>
        <v>0.5</v>
      </c>
      <c r="AH12" s="37">
        <f t="shared" ca="1" si="5"/>
        <v>39.339726027397262</v>
      </c>
      <c r="AI12" s="31" t="str">
        <f t="shared" si="6"/>
        <v/>
      </c>
      <c r="AJ12" s="31" t="str">
        <f t="shared" si="13"/>
        <v/>
      </c>
      <c r="AK12" s="31" t="str">
        <f t="shared" si="14"/>
        <v/>
      </c>
      <c r="AL12" s="31">
        <f t="shared" si="15"/>
        <v>1</v>
      </c>
      <c r="AM12" s="31" t="str">
        <f t="shared" si="16"/>
        <v/>
      </c>
      <c r="AN12" s="31" t="str">
        <f t="shared" si="17"/>
        <v/>
      </c>
      <c r="AO12" s="31" t="str">
        <f t="shared" si="18"/>
        <v/>
      </c>
      <c r="AP12" s="31" t="str">
        <f t="shared" si="19"/>
        <v/>
      </c>
      <c r="AQ12" s="31">
        <f t="shared" si="20"/>
        <v>1</v>
      </c>
      <c r="AR12" s="37" t="str">
        <f t="shared" si="21"/>
        <v/>
      </c>
      <c r="AS12" s="37">
        <f t="shared" ca="1" si="22"/>
        <v>39.339726027397262</v>
      </c>
      <c r="AT12" s="31" t="str">
        <f t="shared" si="23"/>
        <v/>
      </c>
      <c r="AU12" s="31" t="str">
        <f t="shared" si="24"/>
        <v/>
      </c>
      <c r="AV12" s="31" t="str">
        <f t="shared" si="25"/>
        <v/>
      </c>
      <c r="AW12" s="31" t="str">
        <f t="shared" si="26"/>
        <v/>
      </c>
      <c r="AX12" s="31" t="str">
        <f t="shared" si="27"/>
        <v/>
      </c>
      <c r="AY12" s="31" t="str">
        <f t="shared" si="28"/>
        <v/>
      </c>
      <c r="AZ12" s="31" t="str">
        <f t="shared" si="29"/>
        <v/>
      </c>
      <c r="BA12" s="31" t="str">
        <f t="shared" si="30"/>
        <v/>
      </c>
      <c r="BB12" s="31" t="str">
        <f t="shared" ca="1" si="7"/>
        <v/>
      </c>
      <c r="BC12" s="31" t="str">
        <f t="shared" ca="1" si="8"/>
        <v/>
      </c>
      <c r="BD12" s="31" t="str">
        <f t="shared" ca="1" si="9"/>
        <v/>
      </c>
      <c r="BE12" s="31" t="str">
        <f t="shared" ca="1" si="10"/>
        <v/>
      </c>
    </row>
    <row r="13" spans="1:57" x14ac:dyDescent="0.3">
      <c r="A13" s="25">
        <v>6</v>
      </c>
      <c r="B13" s="49" t="s">
        <v>101</v>
      </c>
      <c r="C13" s="50">
        <v>43525</v>
      </c>
      <c r="D13" s="50">
        <v>43928</v>
      </c>
      <c r="E13" s="51" t="str">
        <f t="shared" si="11"/>
        <v>Non</v>
      </c>
      <c r="F13" s="52" t="s">
        <v>102</v>
      </c>
      <c r="G13" s="53" t="s">
        <v>103</v>
      </c>
      <c r="H13" s="53" t="s">
        <v>63</v>
      </c>
      <c r="I13" s="52" t="s">
        <v>64</v>
      </c>
      <c r="J13" s="52" t="s">
        <v>76</v>
      </c>
      <c r="K13" s="50">
        <v>33158</v>
      </c>
      <c r="L13" s="74"/>
      <c r="M13" s="50" t="s">
        <v>66</v>
      </c>
      <c r="N13" s="52" t="s">
        <v>67</v>
      </c>
      <c r="O13" s="52" t="s">
        <v>68</v>
      </c>
      <c r="P13" s="52">
        <v>1</v>
      </c>
      <c r="Q13" s="52" t="s">
        <v>77</v>
      </c>
      <c r="R13" s="52">
        <v>3</v>
      </c>
      <c r="S13" s="54">
        <v>3425</v>
      </c>
      <c r="T13" s="55" t="s">
        <v>93</v>
      </c>
      <c r="U13" s="55" t="s">
        <v>100</v>
      </c>
      <c r="V13" s="56">
        <v>384478</v>
      </c>
      <c r="W13" s="56"/>
      <c r="X13" s="55"/>
      <c r="Y13" s="34"/>
      <c r="Z13" s="34"/>
      <c r="AA13" s="32" t="s">
        <v>104</v>
      </c>
      <c r="AB13" s="36"/>
      <c r="AC13" s="31">
        <f t="shared" si="0"/>
        <v>403</v>
      </c>
      <c r="AD13" s="31" t="str">
        <f t="shared" si="1"/>
        <v/>
      </c>
      <c r="AE13" s="31" t="str">
        <f t="shared" si="2"/>
        <v/>
      </c>
      <c r="AF13" s="31" t="str">
        <f t="shared" si="3"/>
        <v/>
      </c>
      <c r="AG13" s="31" t="str">
        <f t="shared" si="4"/>
        <v/>
      </c>
      <c r="AH13" s="37" t="str">
        <f t="shared" si="5"/>
        <v/>
      </c>
      <c r="AI13" s="31" t="str">
        <f t="shared" si="6"/>
        <v/>
      </c>
      <c r="AJ13" s="31" t="str">
        <f t="shared" si="13"/>
        <v/>
      </c>
      <c r="AK13" s="31" t="str">
        <f t="shared" si="14"/>
        <v/>
      </c>
      <c r="AL13" s="31" t="str">
        <f t="shared" si="15"/>
        <v/>
      </c>
      <c r="AM13" s="31" t="str">
        <f t="shared" si="16"/>
        <v/>
      </c>
      <c r="AN13" s="31" t="str">
        <f t="shared" si="17"/>
        <v/>
      </c>
      <c r="AO13" s="31" t="str">
        <f t="shared" si="18"/>
        <v/>
      </c>
      <c r="AP13" s="31" t="str">
        <f t="shared" si="19"/>
        <v/>
      </c>
      <c r="AQ13" s="31" t="str">
        <f t="shared" si="20"/>
        <v/>
      </c>
      <c r="AR13" s="37" t="str">
        <f t="shared" si="21"/>
        <v/>
      </c>
      <c r="AS13" s="37" t="str">
        <f t="shared" si="22"/>
        <v/>
      </c>
      <c r="AT13" s="31" t="str">
        <f t="shared" si="23"/>
        <v/>
      </c>
      <c r="AU13" s="31" t="str">
        <f t="shared" si="24"/>
        <v/>
      </c>
      <c r="AV13" s="31" t="str">
        <f t="shared" si="25"/>
        <v/>
      </c>
      <c r="AW13" s="31" t="str">
        <f t="shared" si="26"/>
        <v/>
      </c>
      <c r="AX13" s="31" t="str">
        <f t="shared" si="27"/>
        <v/>
      </c>
      <c r="AY13" s="31" t="str">
        <f t="shared" si="28"/>
        <v/>
      </c>
      <c r="AZ13" s="31" t="str">
        <f t="shared" si="29"/>
        <v/>
      </c>
      <c r="BA13" s="31" t="str">
        <f t="shared" si="30"/>
        <v/>
      </c>
      <c r="BB13" s="31" t="str">
        <f t="shared" ca="1" si="7"/>
        <v/>
      </c>
      <c r="BC13" s="31" t="str">
        <f t="shared" ca="1" si="8"/>
        <v/>
      </c>
      <c r="BD13" s="31" t="str">
        <f t="shared" ca="1" si="9"/>
        <v/>
      </c>
      <c r="BE13" s="31" t="str">
        <f t="shared" ca="1" si="10"/>
        <v/>
      </c>
    </row>
    <row r="14" spans="1:57" x14ac:dyDescent="0.3">
      <c r="A14" s="25">
        <v>7</v>
      </c>
      <c r="B14" s="26" t="s">
        <v>105</v>
      </c>
      <c r="C14" s="27">
        <v>43478</v>
      </c>
      <c r="D14" s="27"/>
      <c r="E14" s="28" t="str">
        <f t="shared" si="11"/>
        <v>Oui</v>
      </c>
      <c r="F14" s="29" t="s">
        <v>106</v>
      </c>
      <c r="G14" s="30" t="s">
        <v>107</v>
      </c>
      <c r="H14" s="31" t="s">
        <v>63</v>
      </c>
      <c r="I14" s="32" t="s">
        <v>64</v>
      </c>
      <c r="J14" s="32" t="s">
        <v>108</v>
      </c>
      <c r="K14" s="27">
        <v>25247</v>
      </c>
      <c r="L14" s="74">
        <f t="shared" ca="1" si="12"/>
        <v>19620</v>
      </c>
      <c r="M14" s="27" t="s">
        <v>66</v>
      </c>
      <c r="N14" s="32" t="s">
        <v>86</v>
      </c>
      <c r="O14" s="57" t="s">
        <v>109</v>
      </c>
      <c r="P14" s="32">
        <v>1</v>
      </c>
      <c r="Q14" s="32" t="s">
        <v>69</v>
      </c>
      <c r="R14" s="32">
        <v>1</v>
      </c>
      <c r="S14" s="33">
        <v>5230</v>
      </c>
      <c r="T14" s="34" t="s">
        <v>87</v>
      </c>
      <c r="U14" s="34" t="s">
        <v>110</v>
      </c>
      <c r="V14" s="35"/>
      <c r="W14" s="35"/>
      <c r="X14" s="34"/>
      <c r="Y14" s="34"/>
      <c r="Z14" s="34"/>
      <c r="AA14" s="32"/>
      <c r="AB14" s="36"/>
      <c r="AC14" s="31">
        <f t="shared" ca="1" si="0"/>
        <v>1389</v>
      </c>
      <c r="AD14" s="31">
        <f t="shared" si="1"/>
        <v>1</v>
      </c>
      <c r="AE14" s="31" t="str">
        <f t="shared" si="2"/>
        <v/>
      </c>
      <c r="AF14" s="31">
        <f t="shared" si="3"/>
        <v>1</v>
      </c>
      <c r="AG14" s="31">
        <f t="shared" si="4"/>
        <v>1</v>
      </c>
      <c r="AH14" s="37">
        <f t="shared" ca="1" si="5"/>
        <v>53.753424657534246</v>
      </c>
      <c r="AI14" s="31" t="str">
        <f t="shared" si="6"/>
        <v/>
      </c>
      <c r="AJ14" s="31" t="str">
        <f t="shared" si="13"/>
        <v/>
      </c>
      <c r="AK14" s="31">
        <f t="shared" si="14"/>
        <v>1</v>
      </c>
      <c r="AL14" s="31" t="str">
        <f t="shared" si="15"/>
        <v/>
      </c>
      <c r="AM14" s="31" t="str">
        <f t="shared" si="16"/>
        <v/>
      </c>
      <c r="AN14" s="31" t="str">
        <f t="shared" si="17"/>
        <v/>
      </c>
      <c r="AO14" s="31">
        <f t="shared" si="18"/>
        <v>1</v>
      </c>
      <c r="AP14" s="31" t="str">
        <f t="shared" si="19"/>
        <v/>
      </c>
      <c r="AQ14" s="31" t="str">
        <f t="shared" si="20"/>
        <v/>
      </c>
      <c r="AR14" s="37" t="str">
        <f t="shared" si="21"/>
        <v/>
      </c>
      <c r="AS14" s="37">
        <f t="shared" ca="1" si="22"/>
        <v>53.753424657534246</v>
      </c>
      <c r="AT14" s="31" t="str">
        <f t="shared" si="23"/>
        <v/>
      </c>
      <c r="AU14" s="31" t="str">
        <f t="shared" si="24"/>
        <v/>
      </c>
      <c r="AV14" s="31" t="str">
        <f t="shared" si="25"/>
        <v/>
      </c>
      <c r="AW14" s="31" t="str">
        <f t="shared" si="26"/>
        <v/>
      </c>
      <c r="AX14" s="31" t="str">
        <f t="shared" si="27"/>
        <v/>
      </c>
      <c r="AY14" s="31" t="str">
        <f t="shared" si="28"/>
        <v/>
      </c>
      <c r="AZ14" s="31" t="str">
        <f t="shared" si="29"/>
        <v/>
      </c>
      <c r="BA14" s="31" t="str">
        <f t="shared" si="30"/>
        <v/>
      </c>
      <c r="BB14" s="31" t="str">
        <f t="shared" ca="1" si="7"/>
        <v/>
      </c>
      <c r="BC14" s="31" t="str">
        <f t="shared" ca="1" si="8"/>
        <v/>
      </c>
      <c r="BD14" s="31" t="str">
        <f t="shared" ca="1" si="9"/>
        <v/>
      </c>
      <c r="BE14" s="31" t="str">
        <f t="shared" ca="1" si="10"/>
        <v/>
      </c>
    </row>
    <row r="15" spans="1:57" x14ac:dyDescent="0.3">
      <c r="A15" s="25">
        <v>8</v>
      </c>
      <c r="B15" s="49" t="s">
        <v>111</v>
      </c>
      <c r="C15" s="50">
        <v>44300</v>
      </c>
      <c r="D15" s="50">
        <v>44375</v>
      </c>
      <c r="E15" s="51" t="str">
        <f t="shared" si="11"/>
        <v>Non</v>
      </c>
      <c r="F15" s="52" t="s">
        <v>112</v>
      </c>
      <c r="G15" s="53" t="s">
        <v>113</v>
      </c>
      <c r="H15" s="53" t="s">
        <v>63</v>
      </c>
      <c r="I15" s="52" t="s">
        <v>64</v>
      </c>
      <c r="J15" s="52" t="s">
        <v>65</v>
      </c>
      <c r="K15" s="58">
        <v>37397</v>
      </c>
      <c r="L15" s="74"/>
      <c r="M15" s="50" t="s">
        <v>114</v>
      </c>
      <c r="N15" s="52" t="s">
        <v>115</v>
      </c>
      <c r="O15" s="52" t="s">
        <v>68</v>
      </c>
      <c r="P15" s="52">
        <v>1</v>
      </c>
      <c r="Q15" s="52" t="s">
        <v>69</v>
      </c>
      <c r="R15" s="52">
        <v>1</v>
      </c>
      <c r="S15" s="54">
        <v>4320</v>
      </c>
      <c r="T15" s="55" t="s">
        <v>70</v>
      </c>
      <c r="U15" s="55" t="s">
        <v>94</v>
      </c>
      <c r="V15" s="56"/>
      <c r="W15" s="35"/>
      <c r="X15" s="34"/>
      <c r="Y15" s="34"/>
      <c r="Z15" s="34"/>
      <c r="AA15" s="32" t="s">
        <v>116</v>
      </c>
      <c r="AB15" s="36"/>
      <c r="AC15" s="31">
        <f t="shared" si="0"/>
        <v>75</v>
      </c>
      <c r="AD15" s="31" t="str">
        <f t="shared" si="1"/>
        <v/>
      </c>
      <c r="AE15" s="31" t="str">
        <f t="shared" si="2"/>
        <v/>
      </c>
      <c r="AF15" s="31" t="str">
        <f t="shared" si="3"/>
        <v/>
      </c>
      <c r="AG15" s="31" t="str">
        <f t="shared" si="4"/>
        <v/>
      </c>
      <c r="AH15" s="37" t="str">
        <f>IF(E15="Oui",($C$3-K22)/365,"")</f>
        <v/>
      </c>
      <c r="AI15" s="31" t="str">
        <f t="shared" si="6"/>
        <v/>
      </c>
      <c r="AJ15" s="31" t="str">
        <f t="shared" si="13"/>
        <v/>
      </c>
      <c r="AK15" s="31" t="str">
        <f t="shared" si="14"/>
        <v/>
      </c>
      <c r="AL15" s="31" t="str">
        <f t="shared" si="15"/>
        <v/>
      </c>
      <c r="AM15" s="31" t="str">
        <f t="shared" si="16"/>
        <v/>
      </c>
      <c r="AN15" s="31" t="str">
        <f t="shared" si="17"/>
        <v/>
      </c>
      <c r="AO15" s="31" t="str">
        <f t="shared" si="18"/>
        <v/>
      </c>
      <c r="AP15" s="31" t="str">
        <f t="shared" si="19"/>
        <v/>
      </c>
      <c r="AQ15" s="31" t="str">
        <f t="shared" si="20"/>
        <v/>
      </c>
      <c r="AR15" s="37" t="str">
        <f>IF(AND($E15="Oui",$I15="F"),($C$3-K22)/365,"")</f>
        <v/>
      </c>
      <c r="AS15" s="37" t="str">
        <f>IF(AND($E15="Oui",$I15="M"),($C$3-$K22)/365,"")</f>
        <v/>
      </c>
      <c r="AT15" s="31" t="str">
        <f t="shared" si="23"/>
        <v/>
      </c>
      <c r="AU15" s="31" t="str">
        <f t="shared" si="24"/>
        <v/>
      </c>
      <c r="AV15" s="31" t="str">
        <f t="shared" si="25"/>
        <v/>
      </c>
      <c r="AW15" s="31" t="str">
        <f t="shared" si="26"/>
        <v/>
      </c>
      <c r="AX15" s="31" t="str">
        <f t="shared" si="27"/>
        <v/>
      </c>
      <c r="AY15" s="31" t="str">
        <f t="shared" si="28"/>
        <v/>
      </c>
      <c r="AZ15" s="31" t="str">
        <f t="shared" si="29"/>
        <v/>
      </c>
      <c r="BA15" s="31" t="str">
        <f t="shared" si="30"/>
        <v/>
      </c>
      <c r="BB15" s="31" t="str">
        <f t="shared" ca="1" si="7"/>
        <v/>
      </c>
      <c r="BC15" s="31">
        <f t="shared" ca="1" si="8"/>
        <v>1</v>
      </c>
      <c r="BD15" s="31" t="str">
        <f t="shared" ca="1" si="9"/>
        <v/>
      </c>
      <c r="BE15" s="31">
        <f t="shared" ca="1" si="10"/>
        <v>1</v>
      </c>
    </row>
    <row r="16" spans="1:57" x14ac:dyDescent="0.3">
      <c r="A16" s="25">
        <v>9</v>
      </c>
      <c r="B16" s="59" t="s">
        <v>117</v>
      </c>
      <c r="C16" s="39">
        <v>44058</v>
      </c>
      <c r="D16" s="44"/>
      <c r="E16" s="40" t="str">
        <f t="shared" si="11"/>
        <v>Oui</v>
      </c>
      <c r="F16" s="41" t="s">
        <v>118</v>
      </c>
      <c r="G16" s="42" t="s">
        <v>119</v>
      </c>
      <c r="H16" s="43" t="s">
        <v>63</v>
      </c>
      <c r="I16" s="44" t="s">
        <v>84</v>
      </c>
      <c r="J16" s="44" t="s">
        <v>120</v>
      </c>
      <c r="K16" s="39">
        <v>29454</v>
      </c>
      <c r="L16" s="74">
        <f t="shared" ca="1" si="12"/>
        <v>15413</v>
      </c>
      <c r="M16" s="44" t="s">
        <v>66</v>
      </c>
      <c r="N16" s="44" t="s">
        <v>67</v>
      </c>
      <c r="O16" s="45">
        <v>0.5</v>
      </c>
      <c r="P16" s="44">
        <v>0.5</v>
      </c>
      <c r="Q16" s="44" t="s">
        <v>77</v>
      </c>
      <c r="R16" s="44">
        <v>3</v>
      </c>
      <c r="S16" s="46">
        <v>1660</v>
      </c>
      <c r="T16" s="47" t="s">
        <v>121</v>
      </c>
      <c r="U16" s="47" t="s">
        <v>88</v>
      </c>
      <c r="V16" s="48"/>
      <c r="W16" s="48"/>
      <c r="X16" s="47"/>
      <c r="Y16" s="34"/>
      <c r="Z16" s="34"/>
      <c r="AA16" s="32"/>
      <c r="AB16" s="36"/>
      <c r="AC16" s="31">
        <f t="shared" ca="1" si="0"/>
        <v>809</v>
      </c>
      <c r="AD16" s="31">
        <f t="shared" si="1"/>
        <v>1</v>
      </c>
      <c r="AE16" s="31">
        <f t="shared" si="2"/>
        <v>1</v>
      </c>
      <c r="AF16" s="31" t="str">
        <f t="shared" si="3"/>
        <v/>
      </c>
      <c r="AG16" s="31">
        <f t="shared" si="4"/>
        <v>0.5</v>
      </c>
      <c r="AH16" s="37">
        <f t="shared" ref="AH16:AH21" ca="1" si="31">IF(E16="Oui",($C$3-K16)/365,"")</f>
        <v>42.227397260273975</v>
      </c>
      <c r="AI16" s="31" t="str">
        <f t="shared" si="6"/>
        <v/>
      </c>
      <c r="AJ16" s="31">
        <f t="shared" si="13"/>
        <v>1</v>
      </c>
      <c r="AK16" s="31" t="str">
        <f t="shared" si="14"/>
        <v/>
      </c>
      <c r="AL16" s="31" t="str">
        <f t="shared" si="15"/>
        <v/>
      </c>
      <c r="AM16" s="31" t="str">
        <f t="shared" si="16"/>
        <v/>
      </c>
      <c r="AN16" s="31" t="str">
        <f t="shared" si="17"/>
        <v/>
      </c>
      <c r="AO16" s="31" t="str">
        <f t="shared" si="18"/>
        <v/>
      </c>
      <c r="AP16" s="31" t="str">
        <f t="shared" si="19"/>
        <v/>
      </c>
      <c r="AQ16" s="31">
        <f t="shared" si="20"/>
        <v>1</v>
      </c>
      <c r="AR16" s="37">
        <f t="shared" ref="AR16:AR21" ca="1" si="32">IF(AND($E16="Oui",$I16="F"),($C$3-K16)/365,"")</f>
        <v>42.227397260273975</v>
      </c>
      <c r="AS16" s="37" t="str">
        <f t="shared" si="22"/>
        <v/>
      </c>
      <c r="AT16" s="31">
        <f t="shared" si="23"/>
        <v>1</v>
      </c>
      <c r="AU16" s="31" t="str">
        <f t="shared" si="24"/>
        <v/>
      </c>
      <c r="AV16" s="31" t="str">
        <f t="shared" si="25"/>
        <v/>
      </c>
      <c r="AW16" s="31" t="str">
        <f t="shared" si="26"/>
        <v/>
      </c>
      <c r="AX16" s="31" t="str">
        <f t="shared" si="27"/>
        <v/>
      </c>
      <c r="AY16" s="31" t="str">
        <f t="shared" si="28"/>
        <v/>
      </c>
      <c r="AZ16" s="31" t="str">
        <f t="shared" si="29"/>
        <v/>
      </c>
      <c r="BA16" s="31">
        <f t="shared" si="30"/>
        <v>1</v>
      </c>
      <c r="BB16" s="31" t="str">
        <f t="shared" ca="1" si="7"/>
        <v/>
      </c>
      <c r="BC16" s="31" t="str">
        <f t="shared" ca="1" si="8"/>
        <v/>
      </c>
      <c r="BD16" s="31" t="str">
        <f t="shared" ca="1" si="9"/>
        <v/>
      </c>
      <c r="BE16" s="31" t="str">
        <f t="shared" ca="1" si="10"/>
        <v/>
      </c>
    </row>
    <row r="17" spans="1:57" x14ac:dyDescent="0.3">
      <c r="A17" s="25">
        <v>10</v>
      </c>
      <c r="B17" s="60" t="s">
        <v>122</v>
      </c>
      <c r="C17" s="27">
        <v>41102</v>
      </c>
      <c r="D17" s="32"/>
      <c r="E17" s="28" t="str">
        <f t="shared" si="11"/>
        <v>Oui</v>
      </c>
      <c r="F17" s="29" t="s">
        <v>123</v>
      </c>
      <c r="G17" s="30" t="s">
        <v>124</v>
      </c>
      <c r="H17" s="31" t="s">
        <v>63</v>
      </c>
      <c r="I17" s="32" t="s">
        <v>84</v>
      </c>
      <c r="J17" s="32" t="s">
        <v>125</v>
      </c>
      <c r="K17" s="27">
        <v>30300</v>
      </c>
      <c r="L17" s="74">
        <f t="shared" ca="1" si="12"/>
        <v>14567</v>
      </c>
      <c r="M17" s="32" t="s">
        <v>66</v>
      </c>
      <c r="N17" s="32" t="s">
        <v>67</v>
      </c>
      <c r="O17" s="32" t="s">
        <v>68</v>
      </c>
      <c r="P17" s="32">
        <v>1</v>
      </c>
      <c r="Q17" s="32" t="s">
        <v>77</v>
      </c>
      <c r="R17" s="32">
        <v>2</v>
      </c>
      <c r="S17" s="33">
        <v>3120</v>
      </c>
      <c r="T17" s="34" t="s">
        <v>70</v>
      </c>
      <c r="U17" s="34" t="s">
        <v>126</v>
      </c>
      <c r="V17" s="61"/>
      <c r="X17" s="34"/>
      <c r="Y17" s="34"/>
      <c r="Z17" s="34"/>
      <c r="AA17" s="32"/>
      <c r="AB17" s="36"/>
      <c r="AC17" s="31">
        <f t="shared" ca="1" si="0"/>
        <v>3765</v>
      </c>
      <c r="AD17" s="31">
        <f t="shared" si="1"/>
        <v>1</v>
      </c>
      <c r="AE17" s="31">
        <f t="shared" si="2"/>
        <v>1</v>
      </c>
      <c r="AF17" s="31" t="str">
        <f t="shared" si="3"/>
        <v/>
      </c>
      <c r="AG17" s="31">
        <f t="shared" si="4"/>
        <v>1</v>
      </c>
      <c r="AH17" s="37">
        <f t="shared" ca="1" si="31"/>
        <v>39.909589041095892</v>
      </c>
      <c r="AI17" s="31" t="str">
        <f t="shared" si="6"/>
        <v/>
      </c>
      <c r="AJ17" s="31">
        <f t="shared" si="13"/>
        <v>1</v>
      </c>
      <c r="AK17" s="31" t="str">
        <f t="shared" si="14"/>
        <v/>
      </c>
      <c r="AL17" s="31" t="str">
        <f t="shared" si="15"/>
        <v/>
      </c>
      <c r="AM17" s="31" t="str">
        <f t="shared" si="16"/>
        <v/>
      </c>
      <c r="AN17" s="31" t="str">
        <f t="shared" si="17"/>
        <v/>
      </c>
      <c r="AO17" s="31" t="str">
        <f t="shared" si="18"/>
        <v/>
      </c>
      <c r="AP17" s="31" t="str">
        <f t="shared" si="19"/>
        <v/>
      </c>
      <c r="AQ17" s="31">
        <f t="shared" si="20"/>
        <v>1</v>
      </c>
      <c r="AR17" s="37">
        <f t="shared" ca="1" si="32"/>
        <v>39.909589041095892</v>
      </c>
      <c r="AS17" s="37" t="str">
        <f t="shared" si="22"/>
        <v/>
      </c>
      <c r="AT17" s="31">
        <f t="shared" si="23"/>
        <v>1</v>
      </c>
      <c r="AU17" s="31" t="str">
        <f t="shared" si="24"/>
        <v/>
      </c>
      <c r="AV17" s="31" t="str">
        <f t="shared" si="25"/>
        <v/>
      </c>
      <c r="AW17" s="31" t="str">
        <f t="shared" si="26"/>
        <v/>
      </c>
      <c r="AX17" s="31" t="str">
        <f t="shared" si="27"/>
        <v/>
      </c>
      <c r="AY17" s="31" t="str">
        <f t="shared" si="28"/>
        <v/>
      </c>
      <c r="AZ17" s="31" t="str">
        <f t="shared" si="29"/>
        <v/>
      </c>
      <c r="BA17" s="31">
        <f t="shared" si="30"/>
        <v>1</v>
      </c>
      <c r="BB17" s="31" t="str">
        <f t="shared" ca="1" si="7"/>
        <v/>
      </c>
      <c r="BC17" s="31" t="str">
        <f t="shared" ca="1" si="8"/>
        <v/>
      </c>
      <c r="BD17" s="31" t="str">
        <f t="shared" ca="1" si="9"/>
        <v/>
      </c>
      <c r="BE17" s="31" t="str">
        <f t="shared" ca="1" si="10"/>
        <v/>
      </c>
    </row>
    <row r="18" spans="1:57" x14ac:dyDescent="0.3">
      <c r="A18" s="25">
        <v>11</v>
      </c>
      <c r="B18" s="60" t="s">
        <v>127</v>
      </c>
      <c r="C18" s="27">
        <v>43141</v>
      </c>
      <c r="D18" s="32"/>
      <c r="E18" s="28" t="str">
        <f t="shared" si="11"/>
        <v>Oui</v>
      </c>
      <c r="F18" s="29" t="s">
        <v>128</v>
      </c>
      <c r="G18" s="30" t="s">
        <v>129</v>
      </c>
      <c r="H18" s="31" t="s">
        <v>63</v>
      </c>
      <c r="I18" s="32" t="s">
        <v>84</v>
      </c>
      <c r="J18" s="32" t="s">
        <v>65</v>
      </c>
      <c r="K18" s="27">
        <v>24920</v>
      </c>
      <c r="L18" s="74">
        <f t="shared" ca="1" si="12"/>
        <v>19947</v>
      </c>
      <c r="M18" s="32" t="s">
        <v>66</v>
      </c>
      <c r="N18" s="32" t="s">
        <v>67</v>
      </c>
      <c r="O18" s="32" t="s">
        <v>68</v>
      </c>
      <c r="P18" s="32">
        <v>1</v>
      </c>
      <c r="Q18" s="32" t="s">
        <v>92</v>
      </c>
      <c r="R18" s="32">
        <v>2</v>
      </c>
      <c r="S18" s="33">
        <v>3890</v>
      </c>
      <c r="T18" s="34" t="s">
        <v>303</v>
      </c>
      <c r="U18" s="34" t="s">
        <v>94</v>
      </c>
      <c r="V18" s="35"/>
      <c r="W18" s="35"/>
      <c r="X18" s="34" t="s">
        <v>130</v>
      </c>
      <c r="Y18" s="34"/>
      <c r="Z18" s="34">
        <v>4</v>
      </c>
      <c r="AA18" s="32"/>
      <c r="AB18" s="36"/>
      <c r="AC18" s="31">
        <f t="shared" ca="1" si="0"/>
        <v>1726</v>
      </c>
      <c r="AD18" s="31">
        <f t="shared" si="1"/>
        <v>1</v>
      </c>
      <c r="AE18" s="31">
        <f t="shared" si="2"/>
        <v>1</v>
      </c>
      <c r="AF18" s="31" t="str">
        <f t="shared" si="3"/>
        <v/>
      </c>
      <c r="AG18" s="31">
        <f t="shared" si="4"/>
        <v>1</v>
      </c>
      <c r="AH18" s="37">
        <f t="shared" ca="1" si="31"/>
        <v>54.649315068493152</v>
      </c>
      <c r="AI18" s="31" t="str">
        <f t="shared" si="6"/>
        <v/>
      </c>
      <c r="AJ18" s="31">
        <f t="shared" si="13"/>
        <v>1</v>
      </c>
      <c r="AK18" s="31" t="str">
        <f t="shared" si="14"/>
        <v/>
      </c>
      <c r="AL18" s="31" t="str">
        <f t="shared" si="15"/>
        <v/>
      </c>
      <c r="AM18" s="31" t="str">
        <f t="shared" si="16"/>
        <v/>
      </c>
      <c r="AN18" s="31" t="str">
        <f t="shared" si="17"/>
        <v/>
      </c>
      <c r="AO18" s="31" t="str">
        <f t="shared" si="18"/>
        <v/>
      </c>
      <c r="AP18" s="31">
        <f t="shared" si="19"/>
        <v>1</v>
      </c>
      <c r="AQ18" s="31" t="str">
        <f t="shared" si="20"/>
        <v/>
      </c>
      <c r="AR18" s="37">
        <f t="shared" ca="1" si="32"/>
        <v>54.649315068493152</v>
      </c>
      <c r="AS18" s="37" t="str">
        <f t="shared" si="22"/>
        <v/>
      </c>
      <c r="AT18" s="31">
        <f t="shared" si="23"/>
        <v>1</v>
      </c>
      <c r="AU18" s="31" t="str">
        <f t="shared" si="24"/>
        <v/>
      </c>
      <c r="AV18" s="31" t="str">
        <f t="shared" si="25"/>
        <v/>
      </c>
      <c r="AW18" s="31" t="str">
        <f t="shared" si="26"/>
        <v/>
      </c>
      <c r="AX18" s="31" t="str">
        <f t="shared" si="27"/>
        <v/>
      </c>
      <c r="AY18" s="31" t="str">
        <f t="shared" si="28"/>
        <v/>
      </c>
      <c r="AZ18" s="31">
        <f t="shared" si="29"/>
        <v>1</v>
      </c>
      <c r="BA18" s="31" t="str">
        <f t="shared" si="30"/>
        <v/>
      </c>
      <c r="BB18" s="31" t="str">
        <f t="shared" ca="1" si="7"/>
        <v/>
      </c>
      <c r="BC18" s="31" t="str">
        <f t="shared" ca="1" si="8"/>
        <v/>
      </c>
      <c r="BD18" s="31" t="str">
        <f t="shared" ca="1" si="9"/>
        <v/>
      </c>
      <c r="BE18" s="31" t="str">
        <f t="shared" ca="1" si="10"/>
        <v/>
      </c>
    </row>
    <row r="19" spans="1:57" x14ac:dyDescent="0.3">
      <c r="A19" s="25">
        <v>12</v>
      </c>
      <c r="B19" s="62" t="s">
        <v>131</v>
      </c>
      <c r="C19" s="50">
        <v>42144</v>
      </c>
      <c r="D19" s="50">
        <v>42372</v>
      </c>
      <c r="E19" s="51" t="str">
        <f t="shared" si="11"/>
        <v>Non</v>
      </c>
      <c r="F19" s="52" t="s">
        <v>132</v>
      </c>
      <c r="G19" s="53" t="s">
        <v>133</v>
      </c>
      <c r="H19" s="53" t="s">
        <v>63</v>
      </c>
      <c r="I19" s="52" t="s">
        <v>64</v>
      </c>
      <c r="J19" s="52" t="s">
        <v>65</v>
      </c>
      <c r="K19" s="50">
        <v>25749</v>
      </c>
      <c r="L19" s="74"/>
      <c r="M19" s="52" t="s">
        <v>66</v>
      </c>
      <c r="N19" s="52" t="s">
        <v>86</v>
      </c>
      <c r="O19" s="52" t="s">
        <v>68</v>
      </c>
      <c r="P19" s="52">
        <v>1</v>
      </c>
      <c r="Q19" s="52" t="s">
        <v>77</v>
      </c>
      <c r="R19" s="52">
        <v>3</v>
      </c>
      <c r="S19" s="54">
        <v>3300</v>
      </c>
      <c r="T19" s="55" t="s">
        <v>93</v>
      </c>
      <c r="U19" s="55" t="s">
        <v>100</v>
      </c>
      <c r="V19" s="56"/>
      <c r="W19" s="56"/>
      <c r="X19" s="55"/>
      <c r="Y19" s="34"/>
      <c r="Z19" s="34"/>
      <c r="AA19" s="32" t="s">
        <v>134</v>
      </c>
      <c r="AB19" s="36"/>
      <c r="AC19" s="31">
        <f t="shared" si="0"/>
        <v>228</v>
      </c>
      <c r="AD19" s="31" t="str">
        <f t="shared" si="1"/>
        <v/>
      </c>
      <c r="AE19" s="31" t="str">
        <f t="shared" si="2"/>
        <v/>
      </c>
      <c r="AF19" s="31" t="str">
        <f t="shared" si="3"/>
        <v/>
      </c>
      <c r="AG19" s="31" t="str">
        <f t="shared" si="4"/>
        <v/>
      </c>
      <c r="AH19" s="37" t="str">
        <f t="shared" si="31"/>
        <v/>
      </c>
      <c r="AI19" s="31" t="str">
        <f t="shared" si="6"/>
        <v/>
      </c>
      <c r="AJ19" s="31" t="str">
        <f t="shared" si="13"/>
        <v/>
      </c>
      <c r="AK19" s="31" t="str">
        <f t="shared" si="14"/>
        <v/>
      </c>
      <c r="AL19" s="31" t="str">
        <f t="shared" si="15"/>
        <v/>
      </c>
      <c r="AM19" s="31" t="str">
        <f t="shared" si="16"/>
        <v/>
      </c>
      <c r="AN19" s="31" t="str">
        <f t="shared" si="17"/>
        <v/>
      </c>
      <c r="AO19" s="31" t="str">
        <f t="shared" si="18"/>
        <v/>
      </c>
      <c r="AP19" s="31" t="str">
        <f t="shared" si="19"/>
        <v/>
      </c>
      <c r="AQ19" s="31" t="str">
        <f t="shared" si="20"/>
        <v/>
      </c>
      <c r="AR19" s="37" t="str">
        <f t="shared" si="32"/>
        <v/>
      </c>
      <c r="AS19" s="37" t="str">
        <f t="shared" si="22"/>
        <v/>
      </c>
      <c r="AT19" s="31" t="str">
        <f t="shared" si="23"/>
        <v/>
      </c>
      <c r="AU19" s="31" t="str">
        <f t="shared" si="24"/>
        <v/>
      </c>
      <c r="AV19" s="31" t="str">
        <f t="shared" si="25"/>
        <v/>
      </c>
      <c r="AW19" s="31" t="str">
        <f t="shared" si="26"/>
        <v/>
      </c>
      <c r="AX19" s="31" t="str">
        <f t="shared" si="27"/>
        <v/>
      </c>
      <c r="AY19" s="31" t="str">
        <f t="shared" si="28"/>
        <v/>
      </c>
      <c r="AZ19" s="31" t="str">
        <f t="shared" si="29"/>
        <v/>
      </c>
      <c r="BA19" s="31" t="str">
        <f t="shared" si="30"/>
        <v/>
      </c>
      <c r="BB19" s="31" t="str">
        <f t="shared" ca="1" si="7"/>
        <v/>
      </c>
      <c r="BC19" s="31" t="str">
        <f t="shared" ca="1" si="8"/>
        <v/>
      </c>
      <c r="BD19" s="31" t="str">
        <f t="shared" ca="1" si="9"/>
        <v/>
      </c>
      <c r="BE19" s="31" t="str">
        <f t="shared" ca="1" si="10"/>
        <v/>
      </c>
    </row>
    <row r="20" spans="1:57" x14ac:dyDescent="0.3">
      <c r="A20" s="25">
        <v>13</v>
      </c>
      <c r="B20" s="62" t="s">
        <v>135</v>
      </c>
      <c r="C20" s="50">
        <v>43793</v>
      </c>
      <c r="D20" s="50">
        <v>44177</v>
      </c>
      <c r="E20" s="51" t="str">
        <f t="shared" si="11"/>
        <v>Non</v>
      </c>
      <c r="F20" s="52" t="s">
        <v>136</v>
      </c>
      <c r="G20" s="53" t="s">
        <v>137</v>
      </c>
      <c r="H20" s="53" t="s">
        <v>63</v>
      </c>
      <c r="I20" s="52" t="s">
        <v>64</v>
      </c>
      <c r="J20" s="52" t="s">
        <v>65</v>
      </c>
      <c r="K20" s="50">
        <v>30700</v>
      </c>
      <c r="L20" s="74"/>
      <c r="M20" s="52" t="s">
        <v>66</v>
      </c>
      <c r="N20" s="52" t="s">
        <v>86</v>
      </c>
      <c r="O20" s="52" t="s">
        <v>68</v>
      </c>
      <c r="P20" s="52">
        <v>1</v>
      </c>
      <c r="Q20" s="52" t="s">
        <v>77</v>
      </c>
      <c r="R20" s="52">
        <v>3</v>
      </c>
      <c r="S20" s="54">
        <v>2956</v>
      </c>
      <c r="T20" s="55" t="s">
        <v>93</v>
      </c>
      <c r="U20" s="55" t="s">
        <v>100</v>
      </c>
      <c r="V20" s="56">
        <v>1982130</v>
      </c>
      <c r="W20" s="56"/>
      <c r="X20" s="55"/>
      <c r="Y20" s="34"/>
      <c r="Z20" s="34"/>
      <c r="AA20" s="32" t="s">
        <v>134</v>
      </c>
      <c r="AB20" s="36"/>
      <c r="AC20" s="31">
        <f t="shared" si="0"/>
        <v>384</v>
      </c>
      <c r="AD20" s="31" t="str">
        <f t="shared" si="1"/>
        <v/>
      </c>
      <c r="AE20" s="31" t="str">
        <f t="shared" si="2"/>
        <v/>
      </c>
      <c r="AF20" s="31" t="str">
        <f t="shared" si="3"/>
        <v/>
      </c>
      <c r="AG20" s="31" t="str">
        <f t="shared" si="4"/>
        <v/>
      </c>
      <c r="AH20" s="37" t="str">
        <f t="shared" si="31"/>
        <v/>
      </c>
      <c r="AI20" s="31" t="str">
        <f t="shared" si="6"/>
        <v/>
      </c>
      <c r="AJ20" s="31" t="str">
        <f t="shared" si="13"/>
        <v/>
      </c>
      <c r="AK20" s="31" t="str">
        <f t="shared" si="14"/>
        <v/>
      </c>
      <c r="AL20" s="31" t="str">
        <f t="shared" si="15"/>
        <v/>
      </c>
      <c r="AM20" s="31" t="str">
        <f t="shared" si="16"/>
        <v/>
      </c>
      <c r="AN20" s="31" t="str">
        <f t="shared" si="17"/>
        <v/>
      </c>
      <c r="AO20" s="31" t="str">
        <f t="shared" si="18"/>
        <v/>
      </c>
      <c r="AP20" s="31" t="str">
        <f t="shared" si="19"/>
        <v/>
      </c>
      <c r="AQ20" s="31" t="str">
        <f t="shared" si="20"/>
        <v/>
      </c>
      <c r="AR20" s="37" t="str">
        <f t="shared" si="32"/>
        <v/>
      </c>
      <c r="AS20" s="37" t="str">
        <f t="shared" si="22"/>
        <v/>
      </c>
      <c r="AT20" s="31" t="str">
        <f t="shared" si="23"/>
        <v/>
      </c>
      <c r="AU20" s="31" t="str">
        <f t="shared" si="24"/>
        <v/>
      </c>
      <c r="AV20" s="31" t="str">
        <f t="shared" si="25"/>
        <v/>
      </c>
      <c r="AW20" s="31" t="str">
        <f t="shared" si="26"/>
        <v/>
      </c>
      <c r="AX20" s="31" t="str">
        <f t="shared" si="27"/>
        <v/>
      </c>
      <c r="AY20" s="31" t="str">
        <f t="shared" si="28"/>
        <v/>
      </c>
      <c r="AZ20" s="31" t="str">
        <f t="shared" si="29"/>
        <v/>
      </c>
      <c r="BA20" s="31" t="str">
        <f t="shared" si="30"/>
        <v/>
      </c>
      <c r="BB20" s="31" t="str">
        <f t="shared" ca="1" si="7"/>
        <v/>
      </c>
      <c r="BC20" s="31" t="str">
        <f t="shared" ca="1" si="8"/>
        <v/>
      </c>
      <c r="BD20" s="31" t="str">
        <f t="shared" ca="1" si="9"/>
        <v/>
      </c>
      <c r="BE20" s="31" t="str">
        <f t="shared" ca="1" si="10"/>
        <v/>
      </c>
    </row>
    <row r="21" spans="1:57" x14ac:dyDescent="0.3">
      <c r="A21" s="25">
        <v>14</v>
      </c>
      <c r="B21" s="59" t="s">
        <v>138</v>
      </c>
      <c r="C21" s="39">
        <v>44127</v>
      </c>
      <c r="D21" s="44"/>
      <c r="E21" s="40" t="str">
        <f t="shared" si="11"/>
        <v>Oui</v>
      </c>
      <c r="F21" s="41" t="s">
        <v>139</v>
      </c>
      <c r="G21" s="42" t="s">
        <v>140</v>
      </c>
      <c r="H21" s="43" t="s">
        <v>63</v>
      </c>
      <c r="I21" s="44" t="s">
        <v>64</v>
      </c>
      <c r="J21" s="44" t="s">
        <v>141</v>
      </c>
      <c r="K21" s="39">
        <v>37162</v>
      </c>
      <c r="L21" s="74">
        <f t="shared" ca="1" si="12"/>
        <v>7705</v>
      </c>
      <c r="M21" s="44" t="s">
        <v>66</v>
      </c>
      <c r="N21" s="44" t="s">
        <v>99</v>
      </c>
      <c r="O21" s="45">
        <v>0.75</v>
      </c>
      <c r="P21" s="44">
        <v>0.75</v>
      </c>
      <c r="Q21" s="44" t="s">
        <v>77</v>
      </c>
      <c r="R21" s="44">
        <v>4</v>
      </c>
      <c r="S21" s="46">
        <v>1450</v>
      </c>
      <c r="T21" s="47" t="s">
        <v>121</v>
      </c>
      <c r="U21" s="47" t="s">
        <v>88</v>
      </c>
      <c r="V21" s="48"/>
      <c r="W21" s="48"/>
      <c r="X21" s="47" t="s">
        <v>142</v>
      </c>
      <c r="Y21" s="34">
        <v>0</v>
      </c>
      <c r="Z21" s="34"/>
      <c r="AA21" s="32"/>
      <c r="AB21" s="36"/>
      <c r="AC21" s="31">
        <f t="shared" ca="1" si="0"/>
        <v>740</v>
      </c>
      <c r="AD21" s="31">
        <f t="shared" si="1"/>
        <v>1</v>
      </c>
      <c r="AE21" s="31" t="str">
        <f t="shared" si="2"/>
        <v/>
      </c>
      <c r="AF21" s="31">
        <f t="shared" si="3"/>
        <v>1</v>
      </c>
      <c r="AG21" s="31">
        <f t="shared" si="4"/>
        <v>0.75</v>
      </c>
      <c r="AH21" s="37">
        <f t="shared" ca="1" si="31"/>
        <v>21.109589041095891</v>
      </c>
      <c r="AI21" s="31" t="str">
        <f t="shared" si="6"/>
        <v/>
      </c>
      <c r="AJ21" s="31" t="str">
        <f t="shared" si="13"/>
        <v/>
      </c>
      <c r="AK21" s="31" t="str">
        <f t="shared" si="14"/>
        <v/>
      </c>
      <c r="AL21" s="31">
        <f t="shared" si="15"/>
        <v>1</v>
      </c>
      <c r="AM21" s="31" t="str">
        <f t="shared" si="16"/>
        <v/>
      </c>
      <c r="AN21" s="31" t="str">
        <f t="shared" si="17"/>
        <v/>
      </c>
      <c r="AO21" s="31" t="str">
        <f t="shared" si="18"/>
        <v/>
      </c>
      <c r="AP21" s="31" t="str">
        <f t="shared" si="19"/>
        <v/>
      </c>
      <c r="AQ21" s="31">
        <f t="shared" si="20"/>
        <v>1</v>
      </c>
      <c r="AR21" s="37" t="str">
        <f t="shared" si="32"/>
        <v/>
      </c>
      <c r="AS21" s="37">
        <f t="shared" ca="1" si="22"/>
        <v>21.109589041095891</v>
      </c>
      <c r="AT21" s="31" t="str">
        <f t="shared" si="23"/>
        <v/>
      </c>
      <c r="AU21" s="31" t="str">
        <f t="shared" si="24"/>
        <v/>
      </c>
      <c r="AV21" s="31" t="str">
        <f t="shared" si="25"/>
        <v/>
      </c>
      <c r="AW21" s="31" t="str">
        <f t="shared" si="26"/>
        <v/>
      </c>
      <c r="AX21" s="31" t="str">
        <f t="shared" si="27"/>
        <v/>
      </c>
      <c r="AY21" s="31" t="str">
        <f t="shared" si="28"/>
        <v/>
      </c>
      <c r="AZ21" s="31" t="str">
        <f t="shared" si="29"/>
        <v/>
      </c>
      <c r="BA21" s="31" t="str">
        <f t="shared" si="30"/>
        <v/>
      </c>
      <c r="BB21" s="31" t="str">
        <f t="shared" ca="1" si="7"/>
        <v/>
      </c>
      <c r="BC21" s="31" t="str">
        <f t="shared" ca="1" si="8"/>
        <v/>
      </c>
      <c r="BD21" s="31" t="str">
        <f t="shared" ca="1" si="9"/>
        <v/>
      </c>
      <c r="BE21" s="31" t="str">
        <f t="shared" ca="1" si="10"/>
        <v/>
      </c>
    </row>
    <row r="22" spans="1:57" x14ac:dyDescent="0.3">
      <c r="A22" s="25">
        <v>15</v>
      </c>
      <c r="B22" s="60" t="s">
        <v>143</v>
      </c>
      <c r="C22" s="27">
        <v>41102</v>
      </c>
      <c r="D22" s="32"/>
      <c r="E22" s="28" t="str">
        <f t="shared" si="11"/>
        <v>Oui</v>
      </c>
      <c r="F22" s="29" t="s">
        <v>144</v>
      </c>
      <c r="G22" s="30" t="s">
        <v>145</v>
      </c>
      <c r="H22" s="31" t="s">
        <v>63</v>
      </c>
      <c r="I22" s="32" t="s">
        <v>64</v>
      </c>
      <c r="J22" s="32" t="s">
        <v>146</v>
      </c>
      <c r="K22" s="27">
        <v>27986</v>
      </c>
      <c r="L22" s="74">
        <f t="shared" ca="1" si="12"/>
        <v>16881</v>
      </c>
      <c r="M22" s="32" t="s">
        <v>66</v>
      </c>
      <c r="N22" s="32" t="s">
        <v>67</v>
      </c>
      <c r="O22" s="32" t="s">
        <v>68</v>
      </c>
      <c r="P22" s="32">
        <v>1</v>
      </c>
      <c r="Q22" s="32" t="s">
        <v>77</v>
      </c>
      <c r="R22" s="32">
        <v>3</v>
      </c>
      <c r="S22" s="33">
        <v>2645</v>
      </c>
      <c r="T22" s="34" t="s">
        <v>93</v>
      </c>
      <c r="U22" s="34" t="s">
        <v>88</v>
      </c>
      <c r="V22" s="35"/>
      <c r="W22" s="35"/>
      <c r="X22" s="34"/>
      <c r="Y22" s="34"/>
      <c r="Z22" s="34"/>
      <c r="AA22" s="32"/>
      <c r="AB22" s="36"/>
      <c r="AC22" s="31">
        <f t="shared" ca="1" si="0"/>
        <v>3765</v>
      </c>
      <c r="AD22" s="31">
        <f t="shared" si="1"/>
        <v>1</v>
      </c>
      <c r="AE22" s="31" t="str">
        <f t="shared" si="2"/>
        <v/>
      </c>
      <c r="AF22" s="31">
        <f t="shared" si="3"/>
        <v>1</v>
      </c>
      <c r="AG22" s="31">
        <f t="shared" si="4"/>
        <v>1</v>
      </c>
      <c r="AH22" s="37" t="e">
        <f ca="1">IF(E22="Oui",($C$3-#REF!)/365,"")</f>
        <v>#REF!</v>
      </c>
      <c r="AI22" s="31" t="str">
        <f t="shared" si="6"/>
        <v/>
      </c>
      <c r="AJ22" s="31">
        <f t="shared" si="13"/>
        <v>1</v>
      </c>
      <c r="AK22" s="31" t="str">
        <f t="shared" si="14"/>
        <v/>
      </c>
      <c r="AL22" s="31" t="str">
        <f t="shared" si="15"/>
        <v/>
      </c>
      <c r="AM22" s="31" t="str">
        <f t="shared" si="16"/>
        <v/>
      </c>
      <c r="AN22" s="31" t="str">
        <f t="shared" si="17"/>
        <v/>
      </c>
      <c r="AO22" s="31" t="str">
        <f t="shared" si="18"/>
        <v/>
      </c>
      <c r="AP22" s="31" t="str">
        <f t="shared" si="19"/>
        <v/>
      </c>
      <c r="AQ22" s="31">
        <f t="shared" si="20"/>
        <v>1</v>
      </c>
      <c r="AR22" s="37" t="str">
        <f>IF(AND($E22="Oui",$I22="F"),($C$3-#REF!)/365,"")</f>
        <v/>
      </c>
      <c r="AS22" s="37" t="e">
        <f ca="1">IF(AND($E22="Oui",$I22="M"),($C$3-#REF!)/365,"")</f>
        <v>#REF!</v>
      </c>
      <c r="AT22" s="31" t="str">
        <f t="shared" si="23"/>
        <v/>
      </c>
      <c r="AU22" s="31" t="str">
        <f t="shared" si="24"/>
        <v/>
      </c>
      <c r="AV22" s="31" t="str">
        <f t="shared" si="25"/>
        <v/>
      </c>
      <c r="AW22" s="31" t="str">
        <f t="shared" si="26"/>
        <v/>
      </c>
      <c r="AX22" s="31" t="str">
        <f t="shared" si="27"/>
        <v/>
      </c>
      <c r="AY22" s="31" t="str">
        <f t="shared" si="28"/>
        <v/>
      </c>
      <c r="AZ22" s="31" t="str">
        <f t="shared" si="29"/>
        <v/>
      </c>
      <c r="BA22" s="31" t="str">
        <f t="shared" si="30"/>
        <v/>
      </c>
      <c r="BB22" s="31" t="str">
        <f t="shared" ca="1" si="7"/>
        <v/>
      </c>
      <c r="BC22" s="31" t="str">
        <f t="shared" ca="1" si="8"/>
        <v/>
      </c>
      <c r="BD22" s="31" t="str">
        <f t="shared" ca="1" si="9"/>
        <v/>
      </c>
      <c r="BE22" s="31" t="str">
        <f t="shared" ca="1" si="10"/>
        <v/>
      </c>
    </row>
    <row r="23" spans="1:57" x14ac:dyDescent="0.3">
      <c r="A23" s="25">
        <v>16</v>
      </c>
      <c r="B23" s="59" t="s">
        <v>147</v>
      </c>
      <c r="C23" s="39">
        <v>41736</v>
      </c>
      <c r="D23" s="44"/>
      <c r="E23" s="40" t="str">
        <f t="shared" si="11"/>
        <v>Oui</v>
      </c>
      <c r="F23" s="41" t="s">
        <v>148</v>
      </c>
      <c r="G23" s="42" t="s">
        <v>62</v>
      </c>
      <c r="H23" s="43" t="s">
        <v>63</v>
      </c>
      <c r="I23" s="44" t="s">
        <v>64</v>
      </c>
      <c r="J23" s="44" t="s">
        <v>120</v>
      </c>
      <c r="K23" s="39">
        <v>34817</v>
      </c>
      <c r="L23" s="74">
        <f t="shared" ca="1" si="12"/>
        <v>10050</v>
      </c>
      <c r="M23" s="44" t="s">
        <v>114</v>
      </c>
      <c r="N23" s="44" t="s">
        <v>67</v>
      </c>
      <c r="O23" s="45">
        <v>0.75</v>
      </c>
      <c r="P23" s="44">
        <v>0.75</v>
      </c>
      <c r="Q23" s="44" t="s">
        <v>77</v>
      </c>
      <c r="R23" s="44">
        <v>4</v>
      </c>
      <c r="S23" s="46">
        <v>1620</v>
      </c>
      <c r="T23" s="47" t="s">
        <v>303</v>
      </c>
      <c r="U23" s="47" t="s">
        <v>149</v>
      </c>
      <c r="V23" s="48"/>
      <c r="W23" s="48"/>
      <c r="X23" s="47" t="s">
        <v>150</v>
      </c>
      <c r="Y23" s="34">
        <v>1</v>
      </c>
      <c r="Z23" s="34">
        <v>3</v>
      </c>
      <c r="AA23" s="32"/>
      <c r="AB23" s="36"/>
      <c r="AC23" s="31">
        <f t="shared" ca="1" si="0"/>
        <v>3131</v>
      </c>
      <c r="AD23" s="31">
        <f t="shared" si="1"/>
        <v>1</v>
      </c>
      <c r="AE23" s="31" t="str">
        <f t="shared" si="2"/>
        <v/>
      </c>
      <c r="AF23" s="31">
        <f t="shared" si="3"/>
        <v>1</v>
      </c>
      <c r="AG23" s="31">
        <f t="shared" si="4"/>
        <v>0.75</v>
      </c>
      <c r="AH23" s="37">
        <f t="shared" ref="AH23:AH57" ca="1" si="33">IF(E23="Oui",($C$3-K23)/365,"")</f>
        <v>27.534246575342465</v>
      </c>
      <c r="AI23" s="31">
        <f t="shared" si="6"/>
        <v>1</v>
      </c>
      <c r="AJ23" s="31">
        <f t="shared" si="13"/>
        <v>1</v>
      </c>
      <c r="AK23" s="31" t="str">
        <f t="shared" si="14"/>
        <v/>
      </c>
      <c r="AL23" s="31" t="str">
        <f t="shared" si="15"/>
        <v/>
      </c>
      <c r="AM23" s="31" t="str">
        <f t="shared" si="16"/>
        <v/>
      </c>
      <c r="AN23" s="31" t="str">
        <f t="shared" si="17"/>
        <v/>
      </c>
      <c r="AO23" s="31" t="str">
        <f t="shared" si="18"/>
        <v/>
      </c>
      <c r="AP23" s="31" t="str">
        <f t="shared" si="19"/>
        <v/>
      </c>
      <c r="AQ23" s="31">
        <f t="shared" si="20"/>
        <v>1</v>
      </c>
      <c r="AR23" s="37" t="str">
        <f t="shared" ref="AR23:AR57" si="34">IF(AND($E23="Oui",$I23="F"),($C$3-K23)/365,"")</f>
        <v/>
      </c>
      <c r="AS23" s="37">
        <f t="shared" ca="1" si="22"/>
        <v>27.534246575342465</v>
      </c>
      <c r="AT23" s="31" t="str">
        <f t="shared" si="23"/>
        <v/>
      </c>
      <c r="AU23" s="31" t="str">
        <f t="shared" si="24"/>
        <v/>
      </c>
      <c r="AV23" s="31" t="str">
        <f t="shared" si="25"/>
        <v/>
      </c>
      <c r="AW23" s="31" t="str">
        <f t="shared" si="26"/>
        <v/>
      </c>
      <c r="AX23" s="31" t="str">
        <f t="shared" si="27"/>
        <v/>
      </c>
      <c r="AY23" s="31" t="str">
        <f t="shared" si="28"/>
        <v/>
      </c>
      <c r="AZ23" s="31" t="str">
        <f t="shared" si="29"/>
        <v/>
      </c>
      <c r="BA23" s="31" t="str">
        <f t="shared" si="30"/>
        <v/>
      </c>
      <c r="BB23" s="31" t="str">
        <f t="shared" ca="1" si="7"/>
        <v/>
      </c>
      <c r="BC23" s="31" t="str">
        <f t="shared" ca="1" si="8"/>
        <v/>
      </c>
      <c r="BD23" s="31" t="str">
        <f t="shared" ca="1" si="9"/>
        <v/>
      </c>
      <c r="BE23" s="31" t="str">
        <f t="shared" ca="1" si="10"/>
        <v/>
      </c>
    </row>
    <row r="24" spans="1:57" x14ac:dyDescent="0.3">
      <c r="A24" s="25">
        <v>17</v>
      </c>
      <c r="B24" s="62" t="s">
        <v>151</v>
      </c>
      <c r="C24" s="50">
        <v>41102</v>
      </c>
      <c r="D24" s="50">
        <v>43136</v>
      </c>
      <c r="E24" s="51" t="str">
        <f t="shared" si="11"/>
        <v>Non</v>
      </c>
      <c r="F24" s="52" t="s">
        <v>152</v>
      </c>
      <c r="G24" s="53" t="s">
        <v>153</v>
      </c>
      <c r="H24" s="53" t="s">
        <v>63</v>
      </c>
      <c r="I24" s="52" t="s">
        <v>84</v>
      </c>
      <c r="J24" s="52" t="s">
        <v>85</v>
      </c>
      <c r="K24" s="50">
        <v>29088</v>
      </c>
      <c r="L24" s="74"/>
      <c r="M24" s="52" t="s">
        <v>66</v>
      </c>
      <c r="N24" s="52" t="s">
        <v>67</v>
      </c>
      <c r="O24" s="52" t="s">
        <v>68</v>
      </c>
      <c r="P24" s="52">
        <v>1</v>
      </c>
      <c r="Q24" s="52" t="s">
        <v>77</v>
      </c>
      <c r="R24" s="52">
        <v>4</v>
      </c>
      <c r="S24" s="54">
        <v>2000</v>
      </c>
      <c r="T24" s="55" t="s">
        <v>70</v>
      </c>
      <c r="U24" s="55" t="s">
        <v>126</v>
      </c>
      <c r="V24" s="35"/>
      <c r="W24" s="35"/>
      <c r="X24" s="34"/>
      <c r="Y24" s="34"/>
      <c r="Z24" s="34"/>
      <c r="AA24" s="32" t="s">
        <v>80</v>
      </c>
      <c r="AB24" s="36"/>
      <c r="AC24" s="31">
        <f t="shared" si="0"/>
        <v>2034</v>
      </c>
      <c r="AD24" s="31" t="str">
        <f t="shared" si="1"/>
        <v/>
      </c>
      <c r="AE24" s="31" t="str">
        <f t="shared" si="2"/>
        <v/>
      </c>
      <c r="AF24" s="31" t="str">
        <f t="shared" si="3"/>
        <v/>
      </c>
      <c r="AG24" s="31" t="str">
        <f t="shared" si="4"/>
        <v/>
      </c>
      <c r="AH24" s="37" t="str">
        <f t="shared" si="33"/>
        <v/>
      </c>
      <c r="AI24" s="31" t="str">
        <f t="shared" si="6"/>
        <v/>
      </c>
      <c r="AJ24" s="31" t="str">
        <f t="shared" si="13"/>
        <v/>
      </c>
      <c r="AK24" s="31" t="str">
        <f t="shared" si="14"/>
        <v/>
      </c>
      <c r="AL24" s="31" t="str">
        <f t="shared" si="15"/>
        <v/>
      </c>
      <c r="AM24" s="31" t="str">
        <f t="shared" si="16"/>
        <v/>
      </c>
      <c r="AN24" s="31" t="str">
        <f t="shared" si="17"/>
        <v/>
      </c>
      <c r="AO24" s="31" t="str">
        <f t="shared" si="18"/>
        <v/>
      </c>
      <c r="AP24" s="31" t="str">
        <f t="shared" si="19"/>
        <v/>
      </c>
      <c r="AQ24" s="31" t="str">
        <f t="shared" si="20"/>
        <v/>
      </c>
      <c r="AR24" s="37" t="str">
        <f t="shared" si="34"/>
        <v/>
      </c>
      <c r="AS24" s="37" t="str">
        <f t="shared" si="22"/>
        <v/>
      </c>
      <c r="AT24" s="31" t="str">
        <f t="shared" si="23"/>
        <v/>
      </c>
      <c r="AU24" s="31" t="str">
        <f t="shared" si="24"/>
        <v/>
      </c>
      <c r="AV24" s="31" t="str">
        <f t="shared" si="25"/>
        <v/>
      </c>
      <c r="AW24" s="31" t="str">
        <f t="shared" si="26"/>
        <v/>
      </c>
      <c r="AX24" s="31" t="str">
        <f t="shared" si="27"/>
        <v/>
      </c>
      <c r="AY24" s="31" t="str">
        <f t="shared" si="28"/>
        <v/>
      </c>
      <c r="AZ24" s="31" t="str">
        <f t="shared" si="29"/>
        <v/>
      </c>
      <c r="BA24" s="31" t="str">
        <f t="shared" si="30"/>
        <v/>
      </c>
      <c r="BB24" s="31" t="str">
        <f t="shared" ca="1" si="7"/>
        <v/>
      </c>
      <c r="BC24" s="31" t="str">
        <f t="shared" ca="1" si="8"/>
        <v/>
      </c>
      <c r="BD24" s="31" t="str">
        <f t="shared" ca="1" si="9"/>
        <v/>
      </c>
      <c r="BE24" s="31" t="str">
        <f t="shared" ca="1" si="10"/>
        <v/>
      </c>
    </row>
    <row r="25" spans="1:57" x14ac:dyDescent="0.3">
      <c r="A25" s="25">
        <v>18</v>
      </c>
      <c r="B25" s="60" t="s">
        <v>154</v>
      </c>
      <c r="C25" s="27">
        <v>42835</v>
      </c>
      <c r="D25" s="32"/>
      <c r="E25" s="28" t="str">
        <f t="shared" si="11"/>
        <v>Oui</v>
      </c>
      <c r="F25" s="29" t="s">
        <v>155</v>
      </c>
      <c r="G25" s="30" t="s">
        <v>156</v>
      </c>
      <c r="H25" s="31" t="s">
        <v>63</v>
      </c>
      <c r="I25" s="32" t="s">
        <v>64</v>
      </c>
      <c r="J25" s="32" t="s">
        <v>120</v>
      </c>
      <c r="K25" s="27">
        <v>30398</v>
      </c>
      <c r="L25" s="74">
        <f t="shared" ca="1" si="12"/>
        <v>14469</v>
      </c>
      <c r="M25" s="32" t="s">
        <v>66</v>
      </c>
      <c r="N25" s="32" t="s">
        <v>67</v>
      </c>
      <c r="O25" s="32" t="s">
        <v>68</v>
      </c>
      <c r="P25" s="32">
        <v>1</v>
      </c>
      <c r="Q25" s="32" t="s">
        <v>92</v>
      </c>
      <c r="R25" s="32">
        <v>2</v>
      </c>
      <c r="S25" s="33">
        <v>4020</v>
      </c>
      <c r="T25" s="34" t="s">
        <v>93</v>
      </c>
      <c r="U25" s="34" t="s">
        <v>94</v>
      </c>
      <c r="V25" s="35"/>
      <c r="W25" s="35"/>
      <c r="X25" s="34"/>
      <c r="Y25" s="34"/>
      <c r="Z25" s="34"/>
      <c r="AA25" s="32"/>
      <c r="AB25" s="36"/>
      <c r="AC25" s="31">
        <f t="shared" ca="1" si="0"/>
        <v>2032</v>
      </c>
      <c r="AD25" s="31">
        <f t="shared" si="1"/>
        <v>1</v>
      </c>
      <c r="AE25" s="31" t="str">
        <f t="shared" si="2"/>
        <v/>
      </c>
      <c r="AF25" s="31">
        <f t="shared" si="3"/>
        <v>1</v>
      </c>
      <c r="AG25" s="31">
        <f t="shared" si="4"/>
        <v>1</v>
      </c>
      <c r="AH25" s="37">
        <f t="shared" ca="1" si="33"/>
        <v>39.641095890410959</v>
      </c>
      <c r="AI25" s="31" t="str">
        <f t="shared" si="6"/>
        <v/>
      </c>
      <c r="AJ25" s="31">
        <f t="shared" si="13"/>
        <v>1</v>
      </c>
      <c r="AK25" s="31" t="str">
        <f t="shared" si="14"/>
        <v/>
      </c>
      <c r="AL25" s="31" t="str">
        <f t="shared" si="15"/>
        <v/>
      </c>
      <c r="AM25" s="31" t="str">
        <f t="shared" si="16"/>
        <v/>
      </c>
      <c r="AN25" s="31" t="str">
        <f t="shared" si="17"/>
        <v/>
      </c>
      <c r="AO25" s="31" t="str">
        <f t="shared" si="18"/>
        <v/>
      </c>
      <c r="AP25" s="31">
        <f t="shared" si="19"/>
        <v>1</v>
      </c>
      <c r="AQ25" s="31" t="str">
        <f t="shared" si="20"/>
        <v/>
      </c>
      <c r="AR25" s="37" t="str">
        <f t="shared" si="34"/>
        <v/>
      </c>
      <c r="AS25" s="37">
        <f t="shared" ca="1" si="22"/>
        <v>39.641095890410959</v>
      </c>
      <c r="AT25" s="31" t="str">
        <f t="shared" si="23"/>
        <v/>
      </c>
      <c r="AU25" s="31" t="str">
        <f t="shared" si="24"/>
        <v/>
      </c>
      <c r="AV25" s="31" t="str">
        <f t="shared" si="25"/>
        <v/>
      </c>
      <c r="AW25" s="31" t="str">
        <f t="shared" si="26"/>
        <v/>
      </c>
      <c r="AX25" s="31" t="str">
        <f t="shared" si="27"/>
        <v/>
      </c>
      <c r="AY25" s="31" t="str">
        <f t="shared" si="28"/>
        <v/>
      </c>
      <c r="AZ25" s="31" t="str">
        <f t="shared" si="29"/>
        <v/>
      </c>
      <c r="BA25" s="31" t="str">
        <f t="shared" si="30"/>
        <v/>
      </c>
      <c r="BB25" s="31" t="str">
        <f t="shared" ca="1" si="7"/>
        <v/>
      </c>
      <c r="BC25" s="31" t="str">
        <f t="shared" ca="1" si="8"/>
        <v/>
      </c>
      <c r="BD25" s="31" t="str">
        <f t="shared" ca="1" si="9"/>
        <v/>
      </c>
      <c r="BE25" s="31" t="str">
        <f t="shared" ca="1" si="10"/>
        <v/>
      </c>
    </row>
    <row r="26" spans="1:57" x14ac:dyDescent="0.3">
      <c r="A26" s="25">
        <v>19</v>
      </c>
      <c r="B26" s="60" t="s">
        <v>157</v>
      </c>
      <c r="C26" s="27">
        <v>41736</v>
      </c>
      <c r="D26" s="32"/>
      <c r="E26" s="28" t="str">
        <f t="shared" si="11"/>
        <v>Oui</v>
      </c>
      <c r="F26" s="29" t="s">
        <v>158</v>
      </c>
      <c r="G26" s="30" t="s">
        <v>159</v>
      </c>
      <c r="H26" s="31" t="s">
        <v>63</v>
      </c>
      <c r="I26" s="32" t="s">
        <v>64</v>
      </c>
      <c r="J26" s="32" t="s">
        <v>141</v>
      </c>
      <c r="K26" s="27">
        <v>26360</v>
      </c>
      <c r="L26" s="74">
        <f t="shared" ca="1" si="12"/>
        <v>18507</v>
      </c>
      <c r="M26" s="32" t="s">
        <v>66</v>
      </c>
      <c r="N26" s="32" t="s">
        <v>67</v>
      </c>
      <c r="O26" s="32" t="s">
        <v>68</v>
      </c>
      <c r="P26" s="32">
        <v>1</v>
      </c>
      <c r="Q26" s="32" t="s">
        <v>77</v>
      </c>
      <c r="R26" s="32">
        <v>5</v>
      </c>
      <c r="S26" s="33">
        <v>1840</v>
      </c>
      <c r="T26" s="34" t="s">
        <v>303</v>
      </c>
      <c r="U26" s="34" t="s">
        <v>149</v>
      </c>
      <c r="V26" s="35"/>
      <c r="W26" s="35"/>
      <c r="X26" s="34" t="s">
        <v>160</v>
      </c>
      <c r="Y26" s="34">
        <v>1</v>
      </c>
      <c r="Z26" s="34">
        <v>3</v>
      </c>
      <c r="AA26" s="32"/>
      <c r="AB26" s="36"/>
      <c r="AC26" s="31">
        <f t="shared" ca="1" si="0"/>
        <v>3131</v>
      </c>
      <c r="AD26" s="31">
        <f t="shared" si="1"/>
        <v>1</v>
      </c>
      <c r="AE26" s="31" t="str">
        <f t="shared" si="2"/>
        <v/>
      </c>
      <c r="AF26" s="31">
        <f t="shared" si="3"/>
        <v>1</v>
      </c>
      <c r="AG26" s="31">
        <f t="shared" si="4"/>
        <v>1</v>
      </c>
      <c r="AH26" s="37">
        <f t="shared" ca="1" si="33"/>
        <v>50.704109589041096</v>
      </c>
      <c r="AI26" s="31" t="str">
        <f t="shared" si="6"/>
        <v/>
      </c>
      <c r="AJ26" s="31">
        <f t="shared" si="13"/>
        <v>1</v>
      </c>
      <c r="AK26" s="31" t="str">
        <f t="shared" si="14"/>
        <v/>
      </c>
      <c r="AL26" s="31" t="str">
        <f t="shared" si="15"/>
        <v/>
      </c>
      <c r="AM26" s="31" t="str">
        <f t="shared" si="16"/>
        <v/>
      </c>
      <c r="AN26" s="31" t="str">
        <f t="shared" si="17"/>
        <v/>
      </c>
      <c r="AO26" s="31" t="str">
        <f t="shared" si="18"/>
        <v/>
      </c>
      <c r="AP26" s="31" t="str">
        <f t="shared" si="19"/>
        <v/>
      </c>
      <c r="AQ26" s="31">
        <f t="shared" si="20"/>
        <v>1</v>
      </c>
      <c r="AR26" s="37" t="str">
        <f t="shared" si="34"/>
        <v/>
      </c>
      <c r="AS26" s="37">
        <f t="shared" ca="1" si="22"/>
        <v>50.704109589041096</v>
      </c>
      <c r="AT26" s="31" t="str">
        <f t="shared" si="23"/>
        <v/>
      </c>
      <c r="AU26" s="31" t="str">
        <f t="shared" si="24"/>
        <v/>
      </c>
      <c r="AV26" s="31" t="str">
        <f t="shared" si="25"/>
        <v/>
      </c>
      <c r="AW26" s="31" t="str">
        <f t="shared" si="26"/>
        <v/>
      </c>
      <c r="AX26" s="31" t="str">
        <f t="shared" si="27"/>
        <v/>
      </c>
      <c r="AY26" s="31" t="str">
        <f t="shared" si="28"/>
        <v/>
      </c>
      <c r="AZ26" s="31" t="str">
        <f t="shared" si="29"/>
        <v/>
      </c>
      <c r="BA26" s="31" t="str">
        <f t="shared" si="30"/>
        <v/>
      </c>
      <c r="BB26" s="31" t="str">
        <f t="shared" ca="1" si="7"/>
        <v/>
      </c>
      <c r="BC26" s="31" t="str">
        <f t="shared" ca="1" si="8"/>
        <v/>
      </c>
      <c r="BD26" s="31" t="str">
        <f t="shared" ca="1" si="9"/>
        <v/>
      </c>
      <c r="BE26" s="31" t="str">
        <f t="shared" ca="1" si="10"/>
        <v/>
      </c>
    </row>
    <row r="27" spans="1:57" x14ac:dyDescent="0.3">
      <c r="A27" s="25">
        <v>20</v>
      </c>
      <c r="B27" s="59" t="s">
        <v>161</v>
      </c>
      <c r="C27" s="39">
        <v>43891</v>
      </c>
      <c r="D27" s="44"/>
      <c r="E27" s="40" t="str">
        <f t="shared" si="11"/>
        <v>Oui</v>
      </c>
      <c r="F27" s="41" t="s">
        <v>162</v>
      </c>
      <c r="G27" s="42" t="s">
        <v>163</v>
      </c>
      <c r="H27" s="43" t="s">
        <v>63</v>
      </c>
      <c r="I27" s="44" t="s">
        <v>84</v>
      </c>
      <c r="J27" s="44" t="s">
        <v>108</v>
      </c>
      <c r="K27" s="39">
        <v>31052</v>
      </c>
      <c r="L27" s="74">
        <f t="shared" ca="1" si="12"/>
        <v>13815</v>
      </c>
      <c r="M27" s="44" t="s">
        <v>66</v>
      </c>
      <c r="N27" s="44" t="s">
        <v>67</v>
      </c>
      <c r="O27" s="45">
        <v>0.75</v>
      </c>
      <c r="P27" s="44">
        <v>0.75</v>
      </c>
      <c r="Q27" s="44" t="s">
        <v>77</v>
      </c>
      <c r="R27" s="44">
        <v>3</v>
      </c>
      <c r="S27" s="46">
        <v>2057</v>
      </c>
      <c r="T27" s="47" t="s">
        <v>121</v>
      </c>
      <c r="U27" s="47" t="s">
        <v>88</v>
      </c>
      <c r="V27" s="48"/>
      <c r="W27" s="48"/>
      <c r="X27" s="47"/>
      <c r="Y27" s="34"/>
      <c r="Z27" s="34"/>
      <c r="AA27" s="32"/>
      <c r="AB27" s="36"/>
      <c r="AC27" s="31">
        <f t="shared" ca="1" si="0"/>
        <v>976</v>
      </c>
      <c r="AD27" s="31">
        <f t="shared" si="1"/>
        <v>1</v>
      </c>
      <c r="AE27" s="31">
        <f t="shared" si="2"/>
        <v>1</v>
      </c>
      <c r="AF27" s="31" t="str">
        <f t="shared" si="3"/>
        <v/>
      </c>
      <c r="AG27" s="31">
        <f t="shared" si="4"/>
        <v>0.75</v>
      </c>
      <c r="AH27" s="37">
        <f t="shared" ca="1" si="33"/>
        <v>37.849315068493148</v>
      </c>
      <c r="AI27" s="31" t="str">
        <f t="shared" si="6"/>
        <v/>
      </c>
      <c r="AJ27" s="31">
        <f t="shared" si="13"/>
        <v>1</v>
      </c>
      <c r="AK27" s="31" t="str">
        <f t="shared" si="14"/>
        <v/>
      </c>
      <c r="AL27" s="31" t="str">
        <f t="shared" si="15"/>
        <v/>
      </c>
      <c r="AM27" s="31" t="str">
        <f t="shared" si="16"/>
        <v/>
      </c>
      <c r="AN27" s="31" t="str">
        <f t="shared" si="17"/>
        <v/>
      </c>
      <c r="AO27" s="31" t="str">
        <f t="shared" si="18"/>
        <v/>
      </c>
      <c r="AP27" s="31" t="str">
        <f t="shared" si="19"/>
        <v/>
      </c>
      <c r="AQ27" s="31">
        <f t="shared" si="20"/>
        <v>1</v>
      </c>
      <c r="AR27" s="37">
        <f t="shared" ca="1" si="34"/>
        <v>37.849315068493148</v>
      </c>
      <c r="AS27" s="37" t="str">
        <f t="shared" si="22"/>
        <v/>
      </c>
      <c r="AT27" s="31">
        <f t="shared" si="23"/>
        <v>1</v>
      </c>
      <c r="AU27" s="31" t="str">
        <f t="shared" si="24"/>
        <v/>
      </c>
      <c r="AV27" s="31" t="str">
        <f t="shared" si="25"/>
        <v/>
      </c>
      <c r="AW27" s="31" t="str">
        <f t="shared" si="26"/>
        <v/>
      </c>
      <c r="AX27" s="31" t="str">
        <f t="shared" si="27"/>
        <v/>
      </c>
      <c r="AY27" s="31" t="str">
        <f t="shared" si="28"/>
        <v/>
      </c>
      <c r="AZ27" s="31" t="str">
        <f t="shared" si="29"/>
        <v/>
      </c>
      <c r="BA27" s="31">
        <f t="shared" si="30"/>
        <v>1</v>
      </c>
      <c r="BB27" s="31" t="str">
        <f t="shared" ca="1" si="7"/>
        <v/>
      </c>
      <c r="BC27" s="31" t="str">
        <f t="shared" ca="1" si="8"/>
        <v/>
      </c>
      <c r="BD27" s="31" t="str">
        <f t="shared" ca="1" si="9"/>
        <v/>
      </c>
      <c r="BE27" s="31" t="str">
        <f t="shared" ca="1" si="10"/>
        <v/>
      </c>
    </row>
    <row r="28" spans="1:57" x14ac:dyDescent="0.3">
      <c r="A28" s="25">
        <v>21</v>
      </c>
      <c r="B28" s="60" t="s">
        <v>164</v>
      </c>
      <c r="C28" s="27">
        <v>43201</v>
      </c>
      <c r="D28" s="32"/>
      <c r="E28" s="28" t="str">
        <f t="shared" si="11"/>
        <v>Oui</v>
      </c>
      <c r="F28" s="29" t="s">
        <v>165</v>
      </c>
      <c r="G28" s="30" t="s">
        <v>166</v>
      </c>
      <c r="H28" s="31" t="s">
        <v>63</v>
      </c>
      <c r="I28" s="32" t="s">
        <v>84</v>
      </c>
      <c r="J28" s="32" t="s">
        <v>65</v>
      </c>
      <c r="K28" s="27">
        <v>31506</v>
      </c>
      <c r="L28" s="74">
        <f t="shared" ca="1" si="12"/>
        <v>13361</v>
      </c>
      <c r="M28" s="32" t="s">
        <v>66</v>
      </c>
      <c r="N28" s="32" t="s">
        <v>67</v>
      </c>
      <c r="O28" s="32" t="s">
        <v>68</v>
      </c>
      <c r="P28" s="32">
        <v>1</v>
      </c>
      <c r="Q28" s="32" t="s">
        <v>77</v>
      </c>
      <c r="R28" s="32">
        <v>3</v>
      </c>
      <c r="S28" s="33">
        <v>2045</v>
      </c>
      <c r="T28" s="34" t="s">
        <v>93</v>
      </c>
      <c r="U28" s="34" t="s">
        <v>100</v>
      </c>
      <c r="V28" s="35">
        <v>1678251</v>
      </c>
      <c r="W28" s="35">
        <v>1873025</v>
      </c>
      <c r="X28" s="34"/>
      <c r="Y28" s="34"/>
      <c r="Z28" s="34"/>
      <c r="AA28" s="32"/>
      <c r="AB28" s="36"/>
      <c r="AC28" s="31">
        <f t="shared" ca="1" si="0"/>
        <v>1666</v>
      </c>
      <c r="AD28" s="31">
        <f t="shared" si="1"/>
        <v>1</v>
      </c>
      <c r="AE28" s="31">
        <f t="shared" si="2"/>
        <v>1</v>
      </c>
      <c r="AF28" s="31" t="str">
        <f t="shared" si="3"/>
        <v/>
      </c>
      <c r="AG28" s="31">
        <f t="shared" si="4"/>
        <v>1</v>
      </c>
      <c r="AH28" s="37">
        <f t="shared" ca="1" si="33"/>
        <v>36.605479452054794</v>
      </c>
      <c r="AI28" s="31" t="str">
        <f t="shared" si="6"/>
        <v/>
      </c>
      <c r="AJ28" s="31">
        <f t="shared" si="13"/>
        <v>1</v>
      </c>
      <c r="AK28" s="31" t="str">
        <f t="shared" si="14"/>
        <v/>
      </c>
      <c r="AL28" s="31" t="str">
        <f t="shared" si="15"/>
        <v/>
      </c>
      <c r="AM28" s="31" t="str">
        <f t="shared" si="16"/>
        <v/>
      </c>
      <c r="AN28" s="31" t="str">
        <f t="shared" si="17"/>
        <v/>
      </c>
      <c r="AO28" s="31" t="str">
        <f t="shared" si="18"/>
        <v/>
      </c>
      <c r="AP28" s="31" t="str">
        <f t="shared" si="19"/>
        <v/>
      </c>
      <c r="AQ28" s="31">
        <f t="shared" si="20"/>
        <v>1</v>
      </c>
      <c r="AR28" s="37">
        <f t="shared" ca="1" si="34"/>
        <v>36.605479452054794</v>
      </c>
      <c r="AS28" s="37" t="str">
        <f t="shared" si="22"/>
        <v/>
      </c>
      <c r="AT28" s="31">
        <f t="shared" si="23"/>
        <v>1</v>
      </c>
      <c r="AU28" s="31" t="str">
        <f t="shared" si="24"/>
        <v/>
      </c>
      <c r="AV28" s="31" t="str">
        <f t="shared" si="25"/>
        <v/>
      </c>
      <c r="AW28" s="31" t="str">
        <f t="shared" si="26"/>
        <v/>
      </c>
      <c r="AX28" s="31" t="str">
        <f t="shared" si="27"/>
        <v/>
      </c>
      <c r="AY28" s="31" t="str">
        <f t="shared" si="28"/>
        <v/>
      </c>
      <c r="AZ28" s="31" t="str">
        <f t="shared" si="29"/>
        <v/>
      </c>
      <c r="BA28" s="31">
        <f t="shared" si="30"/>
        <v>1</v>
      </c>
      <c r="BB28" s="31" t="str">
        <f t="shared" ca="1" si="7"/>
        <v/>
      </c>
      <c r="BC28" s="31" t="str">
        <f t="shared" ca="1" si="8"/>
        <v/>
      </c>
      <c r="BD28" s="31" t="str">
        <f t="shared" ca="1" si="9"/>
        <v/>
      </c>
      <c r="BE28" s="31" t="str">
        <f t="shared" ca="1" si="10"/>
        <v/>
      </c>
    </row>
    <row r="29" spans="1:57" x14ac:dyDescent="0.3">
      <c r="A29" s="25">
        <v>22</v>
      </c>
      <c r="B29" s="62" t="s">
        <v>167</v>
      </c>
      <c r="C29" s="50">
        <v>41736</v>
      </c>
      <c r="D29" s="50">
        <v>44306</v>
      </c>
      <c r="E29" s="51" t="str">
        <f t="shared" si="11"/>
        <v>Non</v>
      </c>
      <c r="F29" s="52" t="s">
        <v>168</v>
      </c>
      <c r="G29" s="53" t="s">
        <v>169</v>
      </c>
      <c r="H29" s="53" t="s">
        <v>63</v>
      </c>
      <c r="I29" s="52" t="s">
        <v>84</v>
      </c>
      <c r="J29" s="52" t="s">
        <v>65</v>
      </c>
      <c r="K29" s="50">
        <v>28457</v>
      </c>
      <c r="L29" s="74"/>
      <c r="M29" s="52" t="s">
        <v>66</v>
      </c>
      <c r="N29" s="52" t="s">
        <v>67</v>
      </c>
      <c r="O29" s="52" t="s">
        <v>68</v>
      </c>
      <c r="P29" s="52">
        <v>1</v>
      </c>
      <c r="Q29" s="52" t="s">
        <v>77</v>
      </c>
      <c r="R29" s="52">
        <v>5</v>
      </c>
      <c r="S29" s="54">
        <v>1974</v>
      </c>
      <c r="T29" s="55" t="s">
        <v>303</v>
      </c>
      <c r="U29" s="55" t="s">
        <v>149</v>
      </c>
      <c r="V29" s="56"/>
      <c r="W29" s="56"/>
      <c r="X29" s="55" t="s">
        <v>170</v>
      </c>
      <c r="Y29" s="34">
        <v>3</v>
      </c>
      <c r="Z29" s="34">
        <v>1</v>
      </c>
      <c r="AA29" s="32" t="s">
        <v>80</v>
      </c>
      <c r="AB29" s="36"/>
      <c r="AC29" s="31">
        <f t="shared" si="0"/>
        <v>2570</v>
      </c>
      <c r="AD29" s="31" t="str">
        <f t="shared" si="1"/>
        <v/>
      </c>
      <c r="AE29" s="31" t="str">
        <f t="shared" si="2"/>
        <v/>
      </c>
      <c r="AF29" s="31" t="str">
        <f t="shared" si="3"/>
        <v/>
      </c>
      <c r="AG29" s="31" t="str">
        <f t="shared" si="4"/>
        <v/>
      </c>
      <c r="AH29" s="37" t="str">
        <f t="shared" si="33"/>
        <v/>
      </c>
      <c r="AI29" s="31" t="str">
        <f t="shared" si="6"/>
        <v/>
      </c>
      <c r="AJ29" s="31" t="str">
        <f t="shared" si="13"/>
        <v/>
      </c>
      <c r="AK29" s="31" t="str">
        <f t="shared" si="14"/>
        <v/>
      </c>
      <c r="AL29" s="31" t="str">
        <f t="shared" si="15"/>
        <v/>
      </c>
      <c r="AM29" s="31" t="str">
        <f t="shared" si="16"/>
        <v/>
      </c>
      <c r="AN29" s="31" t="str">
        <f t="shared" si="17"/>
        <v/>
      </c>
      <c r="AO29" s="31" t="str">
        <f t="shared" si="18"/>
        <v/>
      </c>
      <c r="AP29" s="31" t="str">
        <f t="shared" si="19"/>
        <v/>
      </c>
      <c r="AQ29" s="31" t="str">
        <f t="shared" si="20"/>
        <v/>
      </c>
      <c r="AR29" s="37" t="str">
        <f t="shared" si="34"/>
        <v/>
      </c>
      <c r="AS29" s="37" t="str">
        <f t="shared" si="22"/>
        <v/>
      </c>
      <c r="AT29" s="31" t="str">
        <f t="shared" si="23"/>
        <v/>
      </c>
      <c r="AU29" s="31" t="str">
        <f t="shared" si="24"/>
        <v/>
      </c>
      <c r="AV29" s="31" t="str">
        <f t="shared" si="25"/>
        <v/>
      </c>
      <c r="AW29" s="31" t="str">
        <f t="shared" si="26"/>
        <v/>
      </c>
      <c r="AX29" s="31" t="str">
        <f t="shared" si="27"/>
        <v/>
      </c>
      <c r="AY29" s="31" t="str">
        <f t="shared" si="28"/>
        <v/>
      </c>
      <c r="AZ29" s="31" t="str">
        <f t="shared" si="29"/>
        <v/>
      </c>
      <c r="BA29" s="31" t="str">
        <f t="shared" si="30"/>
        <v/>
      </c>
      <c r="BB29" s="31" t="str">
        <f t="shared" ca="1" si="7"/>
        <v/>
      </c>
      <c r="BC29" s="31">
        <f t="shared" ca="1" si="8"/>
        <v>1</v>
      </c>
      <c r="BD29" s="31" t="str">
        <f t="shared" ca="1" si="9"/>
        <v/>
      </c>
      <c r="BE29" s="31" t="str">
        <f t="shared" ca="1" si="10"/>
        <v/>
      </c>
    </row>
    <row r="30" spans="1:57" x14ac:dyDescent="0.3">
      <c r="A30" s="25">
        <v>23</v>
      </c>
      <c r="B30" s="60" t="s">
        <v>171</v>
      </c>
      <c r="C30" s="27">
        <v>42835</v>
      </c>
      <c r="D30" s="32"/>
      <c r="E30" s="28" t="str">
        <f t="shared" si="11"/>
        <v>Oui</v>
      </c>
      <c r="F30" s="29" t="s">
        <v>172</v>
      </c>
      <c r="G30" s="30" t="s">
        <v>173</v>
      </c>
      <c r="H30" s="31" t="s">
        <v>63</v>
      </c>
      <c r="I30" s="32" t="s">
        <v>64</v>
      </c>
      <c r="J30" s="32" t="s">
        <v>76</v>
      </c>
      <c r="K30" s="27">
        <v>30505</v>
      </c>
      <c r="L30" s="74">
        <f t="shared" ca="1" si="12"/>
        <v>14362</v>
      </c>
      <c r="M30" s="32" t="s">
        <v>66</v>
      </c>
      <c r="N30" s="32" t="s">
        <v>67</v>
      </c>
      <c r="O30" s="32" t="s">
        <v>68</v>
      </c>
      <c r="P30" s="32">
        <v>1</v>
      </c>
      <c r="Q30" s="32" t="s">
        <v>77</v>
      </c>
      <c r="R30" s="32">
        <v>4</v>
      </c>
      <c r="S30" s="33">
        <v>2014</v>
      </c>
      <c r="T30" s="34" t="s">
        <v>78</v>
      </c>
      <c r="U30" s="34" t="s">
        <v>79</v>
      </c>
      <c r="V30" s="35"/>
      <c r="W30" s="35"/>
      <c r="X30" s="34"/>
      <c r="Y30" s="34"/>
      <c r="Z30" s="34"/>
      <c r="AA30" s="32"/>
      <c r="AB30" s="36"/>
      <c r="AC30" s="31">
        <f t="shared" ca="1" si="0"/>
        <v>2032</v>
      </c>
      <c r="AD30" s="31">
        <f t="shared" si="1"/>
        <v>1</v>
      </c>
      <c r="AE30" s="31" t="str">
        <f t="shared" si="2"/>
        <v/>
      </c>
      <c r="AF30" s="31">
        <f t="shared" si="3"/>
        <v>1</v>
      </c>
      <c r="AG30" s="31">
        <f t="shared" si="4"/>
        <v>1</v>
      </c>
      <c r="AH30" s="37">
        <f t="shared" ca="1" si="33"/>
        <v>39.347945205479455</v>
      </c>
      <c r="AI30" s="31" t="str">
        <f t="shared" si="6"/>
        <v/>
      </c>
      <c r="AJ30" s="31">
        <f t="shared" si="13"/>
        <v>1</v>
      </c>
      <c r="AK30" s="31" t="str">
        <f t="shared" si="14"/>
        <v/>
      </c>
      <c r="AL30" s="31" t="str">
        <f t="shared" si="15"/>
        <v/>
      </c>
      <c r="AM30" s="31" t="str">
        <f t="shared" si="16"/>
        <v/>
      </c>
      <c r="AN30" s="31" t="str">
        <f t="shared" si="17"/>
        <v/>
      </c>
      <c r="AO30" s="31" t="str">
        <f t="shared" si="18"/>
        <v/>
      </c>
      <c r="AP30" s="31" t="str">
        <f t="shared" si="19"/>
        <v/>
      </c>
      <c r="AQ30" s="31">
        <f t="shared" si="20"/>
        <v>1</v>
      </c>
      <c r="AR30" s="37" t="str">
        <f t="shared" si="34"/>
        <v/>
      </c>
      <c r="AS30" s="37">
        <f t="shared" ca="1" si="22"/>
        <v>39.347945205479455</v>
      </c>
      <c r="AT30" s="31" t="str">
        <f t="shared" si="23"/>
        <v/>
      </c>
      <c r="AU30" s="31" t="str">
        <f t="shared" si="24"/>
        <v/>
      </c>
      <c r="AV30" s="31" t="str">
        <f t="shared" si="25"/>
        <v/>
      </c>
      <c r="AW30" s="31" t="str">
        <f t="shared" si="26"/>
        <v/>
      </c>
      <c r="AX30" s="31" t="str">
        <f t="shared" si="27"/>
        <v/>
      </c>
      <c r="AY30" s="31" t="str">
        <f t="shared" si="28"/>
        <v/>
      </c>
      <c r="AZ30" s="31" t="str">
        <f t="shared" si="29"/>
        <v/>
      </c>
      <c r="BA30" s="31" t="str">
        <f t="shared" si="30"/>
        <v/>
      </c>
      <c r="BB30" s="31" t="str">
        <f t="shared" ca="1" si="7"/>
        <v/>
      </c>
      <c r="BC30" s="31" t="str">
        <f t="shared" ca="1" si="8"/>
        <v/>
      </c>
      <c r="BD30" s="31" t="str">
        <f t="shared" ca="1" si="9"/>
        <v/>
      </c>
      <c r="BE30" s="31" t="str">
        <f t="shared" ca="1" si="10"/>
        <v/>
      </c>
    </row>
    <row r="31" spans="1:57" x14ac:dyDescent="0.3">
      <c r="A31" s="25">
        <v>24</v>
      </c>
      <c r="B31" s="60" t="s">
        <v>174</v>
      </c>
      <c r="C31" s="27">
        <v>44300</v>
      </c>
      <c r="D31" s="32"/>
      <c r="E31" s="28" t="str">
        <f t="shared" si="11"/>
        <v>Oui</v>
      </c>
      <c r="F31" s="29" t="s">
        <v>175</v>
      </c>
      <c r="G31" s="30" t="s">
        <v>176</v>
      </c>
      <c r="H31" s="31" t="s">
        <v>63</v>
      </c>
      <c r="I31" s="32" t="s">
        <v>64</v>
      </c>
      <c r="J31" s="32" t="s">
        <v>108</v>
      </c>
      <c r="K31" s="27">
        <v>36693</v>
      </c>
      <c r="L31" s="74">
        <f t="shared" ca="1" si="12"/>
        <v>8174</v>
      </c>
      <c r="M31" s="32" t="s">
        <v>66</v>
      </c>
      <c r="N31" s="32" t="s">
        <v>67</v>
      </c>
      <c r="O31" s="32" t="s">
        <v>68</v>
      </c>
      <c r="P31" s="32">
        <v>1</v>
      </c>
      <c r="Q31" s="32" t="s">
        <v>69</v>
      </c>
      <c r="R31" s="32">
        <v>1</v>
      </c>
      <c r="S31" s="33">
        <v>5341</v>
      </c>
      <c r="T31" s="34" t="s">
        <v>303</v>
      </c>
      <c r="U31" s="34" t="s">
        <v>110</v>
      </c>
      <c r="V31" s="35"/>
      <c r="W31" s="35"/>
      <c r="X31" s="34"/>
      <c r="Y31" s="34"/>
      <c r="Z31" s="34"/>
      <c r="AA31" s="32"/>
      <c r="AB31" s="36"/>
      <c r="AC31" s="31">
        <f t="shared" ca="1" si="0"/>
        <v>567</v>
      </c>
      <c r="AD31" s="31">
        <f t="shared" si="1"/>
        <v>1</v>
      </c>
      <c r="AE31" s="31" t="str">
        <f t="shared" si="2"/>
        <v/>
      </c>
      <c r="AF31" s="31">
        <f t="shared" si="3"/>
        <v>1</v>
      </c>
      <c r="AG31" s="31">
        <f t="shared" si="4"/>
        <v>1</v>
      </c>
      <c r="AH31" s="37">
        <f t="shared" ca="1" si="33"/>
        <v>22.394520547945206</v>
      </c>
      <c r="AI31" s="31" t="str">
        <f t="shared" si="6"/>
        <v/>
      </c>
      <c r="AJ31" s="31">
        <f t="shared" si="13"/>
        <v>1</v>
      </c>
      <c r="AK31" s="31" t="str">
        <f t="shared" si="14"/>
        <v/>
      </c>
      <c r="AL31" s="31" t="str">
        <f t="shared" si="15"/>
        <v/>
      </c>
      <c r="AM31" s="31" t="str">
        <f t="shared" si="16"/>
        <v/>
      </c>
      <c r="AN31" s="31" t="str">
        <f t="shared" si="17"/>
        <v/>
      </c>
      <c r="AO31" s="31">
        <f t="shared" si="18"/>
        <v>1</v>
      </c>
      <c r="AP31" s="31" t="str">
        <f t="shared" si="19"/>
        <v/>
      </c>
      <c r="AQ31" s="31" t="str">
        <f t="shared" si="20"/>
        <v/>
      </c>
      <c r="AR31" s="37" t="str">
        <f t="shared" si="34"/>
        <v/>
      </c>
      <c r="AS31" s="37">
        <f t="shared" ca="1" si="22"/>
        <v>22.394520547945206</v>
      </c>
      <c r="AT31" s="31" t="str">
        <f t="shared" si="23"/>
        <v/>
      </c>
      <c r="AU31" s="31" t="str">
        <f t="shared" si="24"/>
        <v/>
      </c>
      <c r="AV31" s="31" t="str">
        <f t="shared" si="25"/>
        <v/>
      </c>
      <c r="AW31" s="31" t="str">
        <f t="shared" si="26"/>
        <v/>
      </c>
      <c r="AX31" s="31" t="str">
        <f t="shared" si="27"/>
        <v/>
      </c>
      <c r="AY31" s="31" t="str">
        <f t="shared" si="28"/>
        <v/>
      </c>
      <c r="AZ31" s="31" t="str">
        <f t="shared" si="29"/>
        <v/>
      </c>
      <c r="BA31" s="31" t="str">
        <f t="shared" si="30"/>
        <v/>
      </c>
      <c r="BB31" s="31" t="str">
        <f t="shared" ca="1" si="7"/>
        <v/>
      </c>
      <c r="BC31" s="31" t="str">
        <f t="shared" ca="1" si="8"/>
        <v/>
      </c>
      <c r="BD31" s="31" t="str">
        <f t="shared" ca="1" si="9"/>
        <v/>
      </c>
      <c r="BE31" s="31">
        <f t="shared" ca="1" si="10"/>
        <v>1</v>
      </c>
    </row>
    <row r="32" spans="1:57" x14ac:dyDescent="0.3">
      <c r="A32" s="25">
        <v>25</v>
      </c>
      <c r="B32" s="60" t="s">
        <v>177</v>
      </c>
      <c r="C32" s="27">
        <v>43201</v>
      </c>
      <c r="D32" s="32"/>
      <c r="E32" s="28" t="str">
        <f t="shared" si="11"/>
        <v>Oui</v>
      </c>
      <c r="F32" s="29" t="s">
        <v>178</v>
      </c>
      <c r="G32" s="30" t="s">
        <v>179</v>
      </c>
      <c r="H32" s="31" t="s">
        <v>63</v>
      </c>
      <c r="I32" s="32" t="s">
        <v>64</v>
      </c>
      <c r="J32" s="32" t="s">
        <v>120</v>
      </c>
      <c r="K32" s="27">
        <v>34475</v>
      </c>
      <c r="L32" s="74">
        <f t="shared" ca="1" si="12"/>
        <v>10392</v>
      </c>
      <c r="M32" s="32" t="s">
        <v>66</v>
      </c>
      <c r="N32" s="32" t="s">
        <v>67</v>
      </c>
      <c r="O32" s="32" t="s">
        <v>68</v>
      </c>
      <c r="P32" s="32">
        <v>1</v>
      </c>
      <c r="Q32" s="32" t="s">
        <v>77</v>
      </c>
      <c r="R32" s="32">
        <v>3</v>
      </c>
      <c r="S32" s="33">
        <v>2403</v>
      </c>
      <c r="T32" s="34" t="s">
        <v>70</v>
      </c>
      <c r="U32" s="34" t="s">
        <v>126</v>
      </c>
      <c r="V32" s="35"/>
      <c r="W32" s="35"/>
      <c r="X32" s="34"/>
      <c r="Y32" s="34"/>
      <c r="Z32" s="34"/>
      <c r="AA32" s="32"/>
      <c r="AB32" s="36"/>
      <c r="AC32" s="31">
        <f t="shared" ca="1" si="0"/>
        <v>1666</v>
      </c>
      <c r="AD32" s="31">
        <f t="shared" si="1"/>
        <v>1</v>
      </c>
      <c r="AE32" s="31" t="str">
        <f t="shared" si="2"/>
        <v/>
      </c>
      <c r="AF32" s="31">
        <f t="shared" si="3"/>
        <v>1</v>
      </c>
      <c r="AG32" s="31">
        <f t="shared" si="4"/>
        <v>1</v>
      </c>
      <c r="AH32" s="37">
        <f t="shared" ca="1" si="33"/>
        <v>28.471232876712328</v>
      </c>
      <c r="AI32" s="31" t="str">
        <f t="shared" si="6"/>
        <v/>
      </c>
      <c r="AJ32" s="31">
        <f t="shared" si="13"/>
        <v>1</v>
      </c>
      <c r="AK32" s="31" t="str">
        <f t="shared" si="14"/>
        <v/>
      </c>
      <c r="AL32" s="31" t="str">
        <f t="shared" si="15"/>
        <v/>
      </c>
      <c r="AM32" s="31" t="str">
        <f t="shared" si="16"/>
        <v/>
      </c>
      <c r="AN32" s="31" t="str">
        <f t="shared" si="17"/>
        <v/>
      </c>
      <c r="AO32" s="31" t="str">
        <f t="shared" si="18"/>
        <v/>
      </c>
      <c r="AP32" s="31" t="str">
        <f t="shared" si="19"/>
        <v/>
      </c>
      <c r="AQ32" s="31">
        <f t="shared" si="20"/>
        <v>1</v>
      </c>
      <c r="AR32" s="37" t="str">
        <f t="shared" si="34"/>
        <v/>
      </c>
      <c r="AS32" s="37">
        <f t="shared" ca="1" si="22"/>
        <v>28.471232876712328</v>
      </c>
      <c r="AT32" s="31" t="str">
        <f t="shared" si="23"/>
        <v/>
      </c>
      <c r="AU32" s="31" t="str">
        <f t="shared" si="24"/>
        <v/>
      </c>
      <c r="AV32" s="31" t="str">
        <f t="shared" si="25"/>
        <v/>
      </c>
      <c r="AW32" s="31" t="str">
        <f t="shared" si="26"/>
        <v/>
      </c>
      <c r="AX32" s="31" t="str">
        <f t="shared" si="27"/>
        <v/>
      </c>
      <c r="AY32" s="31" t="str">
        <f t="shared" si="28"/>
        <v/>
      </c>
      <c r="AZ32" s="31" t="str">
        <f t="shared" si="29"/>
        <v/>
      </c>
      <c r="BA32" s="31" t="str">
        <f t="shared" si="30"/>
        <v/>
      </c>
      <c r="BB32" s="31" t="str">
        <f t="shared" ca="1" si="7"/>
        <v/>
      </c>
      <c r="BC32" s="31" t="str">
        <f t="shared" ca="1" si="8"/>
        <v/>
      </c>
      <c r="BD32" s="31" t="str">
        <f t="shared" ca="1" si="9"/>
        <v/>
      </c>
      <c r="BE32" s="31" t="str">
        <f t="shared" ca="1" si="10"/>
        <v/>
      </c>
    </row>
    <row r="33" spans="1:57" x14ac:dyDescent="0.3">
      <c r="A33" s="25">
        <v>26</v>
      </c>
      <c r="B33" s="60" t="s">
        <v>180</v>
      </c>
      <c r="C33" s="27">
        <v>41736</v>
      </c>
      <c r="D33" s="32"/>
      <c r="E33" s="28" t="str">
        <f t="shared" si="11"/>
        <v>Oui</v>
      </c>
      <c r="F33" s="29" t="s">
        <v>181</v>
      </c>
      <c r="G33" s="30" t="s">
        <v>182</v>
      </c>
      <c r="H33" s="31" t="s">
        <v>63</v>
      </c>
      <c r="I33" s="32" t="s">
        <v>64</v>
      </c>
      <c r="J33" s="32" t="s">
        <v>85</v>
      </c>
      <c r="K33" s="27">
        <v>32065</v>
      </c>
      <c r="L33" s="74">
        <f t="shared" ca="1" si="12"/>
        <v>12802</v>
      </c>
      <c r="M33" s="32" t="s">
        <v>66</v>
      </c>
      <c r="N33" s="32" t="s">
        <v>67</v>
      </c>
      <c r="O33" s="32" t="s">
        <v>68</v>
      </c>
      <c r="P33" s="32">
        <v>1</v>
      </c>
      <c r="Q33" s="32" t="s">
        <v>77</v>
      </c>
      <c r="R33" s="32">
        <v>3</v>
      </c>
      <c r="S33" s="33">
        <v>2320</v>
      </c>
      <c r="T33" s="34" t="s">
        <v>121</v>
      </c>
      <c r="U33" s="34" t="s">
        <v>88</v>
      </c>
      <c r="V33" s="35"/>
      <c r="W33" s="35"/>
      <c r="X33" s="34"/>
      <c r="Y33" s="34"/>
      <c r="Z33" s="34"/>
      <c r="AA33" s="32"/>
      <c r="AB33" s="36"/>
      <c r="AC33" s="31">
        <f t="shared" ca="1" si="0"/>
        <v>3131</v>
      </c>
      <c r="AD33" s="31">
        <f t="shared" si="1"/>
        <v>1</v>
      </c>
      <c r="AE33" s="31" t="str">
        <f t="shared" si="2"/>
        <v/>
      </c>
      <c r="AF33" s="31">
        <f t="shared" si="3"/>
        <v>1</v>
      </c>
      <c r="AG33" s="31">
        <f t="shared" si="4"/>
        <v>1</v>
      </c>
      <c r="AH33" s="37">
        <f t="shared" ca="1" si="33"/>
        <v>35.073972602739723</v>
      </c>
      <c r="AI33" s="31" t="str">
        <f t="shared" si="6"/>
        <v/>
      </c>
      <c r="AJ33" s="31">
        <f t="shared" si="13"/>
        <v>1</v>
      </c>
      <c r="AK33" s="31" t="str">
        <f t="shared" si="14"/>
        <v/>
      </c>
      <c r="AL33" s="31" t="str">
        <f t="shared" si="15"/>
        <v/>
      </c>
      <c r="AM33" s="31" t="str">
        <f t="shared" si="16"/>
        <v/>
      </c>
      <c r="AN33" s="31" t="str">
        <f t="shared" si="17"/>
        <v/>
      </c>
      <c r="AO33" s="31" t="str">
        <f t="shared" si="18"/>
        <v/>
      </c>
      <c r="AP33" s="31" t="str">
        <f t="shared" si="19"/>
        <v/>
      </c>
      <c r="AQ33" s="31">
        <f t="shared" si="20"/>
        <v>1</v>
      </c>
      <c r="AR33" s="37" t="str">
        <f t="shared" si="34"/>
        <v/>
      </c>
      <c r="AS33" s="37">
        <f t="shared" ca="1" si="22"/>
        <v>35.073972602739723</v>
      </c>
      <c r="AT33" s="31" t="str">
        <f t="shared" si="23"/>
        <v/>
      </c>
      <c r="AU33" s="31" t="str">
        <f t="shared" si="24"/>
        <v/>
      </c>
      <c r="AV33" s="31" t="str">
        <f t="shared" si="25"/>
        <v/>
      </c>
      <c r="AW33" s="31" t="str">
        <f t="shared" si="26"/>
        <v/>
      </c>
      <c r="AX33" s="31" t="str">
        <f t="shared" si="27"/>
        <v/>
      </c>
      <c r="AY33" s="31" t="str">
        <f t="shared" si="28"/>
        <v/>
      </c>
      <c r="AZ33" s="31" t="str">
        <f t="shared" si="29"/>
        <v/>
      </c>
      <c r="BA33" s="31" t="str">
        <f t="shared" si="30"/>
        <v/>
      </c>
      <c r="BB33" s="31" t="str">
        <f t="shared" ca="1" si="7"/>
        <v/>
      </c>
      <c r="BC33" s="31" t="str">
        <f t="shared" ca="1" si="8"/>
        <v/>
      </c>
      <c r="BD33" s="31" t="str">
        <f t="shared" ca="1" si="9"/>
        <v/>
      </c>
      <c r="BE33" s="31" t="str">
        <f t="shared" ca="1" si="10"/>
        <v/>
      </c>
    </row>
    <row r="34" spans="1:57" x14ac:dyDescent="0.3">
      <c r="A34" s="25">
        <v>27</v>
      </c>
      <c r="B34" s="59" t="s">
        <v>183</v>
      </c>
      <c r="C34" s="39">
        <v>43891</v>
      </c>
      <c r="D34" s="44"/>
      <c r="E34" s="40" t="str">
        <f t="shared" si="11"/>
        <v>Oui</v>
      </c>
      <c r="F34" s="41" t="s">
        <v>184</v>
      </c>
      <c r="G34" s="42" t="s">
        <v>185</v>
      </c>
      <c r="H34" s="43" t="s">
        <v>63</v>
      </c>
      <c r="I34" s="44" t="s">
        <v>84</v>
      </c>
      <c r="J34" s="44" t="s">
        <v>85</v>
      </c>
      <c r="K34" s="39">
        <v>26904</v>
      </c>
      <c r="L34" s="74">
        <f t="shared" ca="1" si="12"/>
        <v>17963</v>
      </c>
      <c r="M34" s="44" t="s">
        <v>66</v>
      </c>
      <c r="N34" s="44" t="s">
        <v>67</v>
      </c>
      <c r="O34" s="45">
        <v>0.5</v>
      </c>
      <c r="P34" s="44">
        <v>0.5</v>
      </c>
      <c r="Q34" s="44" t="s">
        <v>77</v>
      </c>
      <c r="R34" s="44">
        <v>3</v>
      </c>
      <c r="S34" s="46">
        <v>2014</v>
      </c>
      <c r="T34" s="47" t="s">
        <v>93</v>
      </c>
      <c r="U34" s="47" t="s">
        <v>100</v>
      </c>
      <c r="V34" s="48">
        <v>1225045</v>
      </c>
      <c r="W34" s="48">
        <v>1145348</v>
      </c>
      <c r="X34" s="47"/>
      <c r="Y34" s="34"/>
      <c r="Z34" s="34"/>
      <c r="AA34" s="32"/>
      <c r="AB34" s="36"/>
      <c r="AC34" s="31">
        <f t="shared" ca="1" si="0"/>
        <v>976</v>
      </c>
      <c r="AD34" s="31">
        <f t="shared" si="1"/>
        <v>1</v>
      </c>
      <c r="AE34" s="31">
        <f t="shared" si="2"/>
        <v>1</v>
      </c>
      <c r="AF34" s="31" t="str">
        <f t="shared" si="3"/>
        <v/>
      </c>
      <c r="AG34" s="31">
        <f t="shared" si="4"/>
        <v>0.5</v>
      </c>
      <c r="AH34" s="37">
        <f t="shared" ca="1" si="33"/>
        <v>49.213698630136989</v>
      </c>
      <c r="AI34" s="31" t="str">
        <f t="shared" si="6"/>
        <v/>
      </c>
      <c r="AJ34" s="31">
        <f t="shared" si="13"/>
        <v>1</v>
      </c>
      <c r="AK34" s="31" t="str">
        <f t="shared" si="14"/>
        <v/>
      </c>
      <c r="AL34" s="31" t="str">
        <f t="shared" si="15"/>
        <v/>
      </c>
      <c r="AM34" s="31" t="str">
        <f t="shared" si="16"/>
        <v/>
      </c>
      <c r="AN34" s="31" t="str">
        <f t="shared" si="17"/>
        <v/>
      </c>
      <c r="AO34" s="31" t="str">
        <f t="shared" si="18"/>
        <v/>
      </c>
      <c r="AP34" s="31" t="str">
        <f t="shared" si="19"/>
        <v/>
      </c>
      <c r="AQ34" s="31">
        <f t="shared" si="20"/>
        <v>1</v>
      </c>
      <c r="AR34" s="37">
        <f t="shared" ca="1" si="34"/>
        <v>49.213698630136989</v>
      </c>
      <c r="AS34" s="37" t="str">
        <f t="shared" si="22"/>
        <v/>
      </c>
      <c r="AT34" s="31">
        <f t="shared" si="23"/>
        <v>1</v>
      </c>
      <c r="AU34" s="31" t="str">
        <f t="shared" si="24"/>
        <v/>
      </c>
      <c r="AV34" s="31" t="str">
        <f t="shared" si="25"/>
        <v/>
      </c>
      <c r="AW34" s="31" t="str">
        <f t="shared" si="26"/>
        <v/>
      </c>
      <c r="AX34" s="31" t="str">
        <f t="shared" si="27"/>
        <v/>
      </c>
      <c r="AY34" s="31" t="str">
        <f t="shared" si="28"/>
        <v/>
      </c>
      <c r="AZ34" s="31" t="str">
        <f t="shared" si="29"/>
        <v/>
      </c>
      <c r="BA34" s="31">
        <f t="shared" si="30"/>
        <v>1</v>
      </c>
      <c r="BB34" s="31" t="str">
        <f t="shared" ca="1" si="7"/>
        <v/>
      </c>
      <c r="BC34" s="31" t="str">
        <f t="shared" ca="1" si="8"/>
        <v/>
      </c>
      <c r="BD34" s="31" t="str">
        <f t="shared" ca="1" si="9"/>
        <v/>
      </c>
      <c r="BE34" s="31" t="str">
        <f t="shared" ca="1" si="10"/>
        <v/>
      </c>
    </row>
    <row r="35" spans="1:57" x14ac:dyDescent="0.3">
      <c r="A35" s="25">
        <v>28</v>
      </c>
      <c r="B35" s="60" t="s">
        <v>186</v>
      </c>
      <c r="C35" s="27">
        <v>44300</v>
      </c>
      <c r="D35" s="32"/>
      <c r="E35" s="28" t="str">
        <f t="shared" si="11"/>
        <v>Oui</v>
      </c>
      <c r="F35" s="29" t="s">
        <v>187</v>
      </c>
      <c r="G35" s="30" t="s">
        <v>188</v>
      </c>
      <c r="H35" s="31" t="s">
        <v>63</v>
      </c>
      <c r="I35" s="32" t="s">
        <v>64</v>
      </c>
      <c r="J35" s="32" t="s">
        <v>189</v>
      </c>
      <c r="K35" s="27">
        <v>30662</v>
      </c>
      <c r="L35" s="74">
        <f t="shared" ca="1" si="12"/>
        <v>14205</v>
      </c>
      <c r="M35" s="32" t="s">
        <v>66</v>
      </c>
      <c r="N35" s="32" t="s">
        <v>67</v>
      </c>
      <c r="O35" s="32" t="s">
        <v>68</v>
      </c>
      <c r="P35" s="32">
        <v>1</v>
      </c>
      <c r="Q35" s="32" t="s">
        <v>69</v>
      </c>
      <c r="R35" s="32">
        <v>1</v>
      </c>
      <c r="S35" s="33">
        <v>4200</v>
      </c>
      <c r="T35" s="34" t="s">
        <v>303</v>
      </c>
      <c r="U35" s="34" t="s">
        <v>94</v>
      </c>
      <c r="V35" s="35"/>
      <c r="W35" s="35"/>
      <c r="X35" s="34"/>
      <c r="Y35" s="34"/>
      <c r="Z35" s="34"/>
      <c r="AA35" s="32"/>
      <c r="AB35" s="36"/>
      <c r="AC35" s="31">
        <f t="shared" ca="1" si="0"/>
        <v>567</v>
      </c>
      <c r="AD35" s="31">
        <f t="shared" si="1"/>
        <v>1</v>
      </c>
      <c r="AE35" s="31" t="str">
        <f t="shared" si="2"/>
        <v/>
      </c>
      <c r="AF35" s="31">
        <f t="shared" si="3"/>
        <v>1</v>
      </c>
      <c r="AG35" s="31">
        <f t="shared" si="4"/>
        <v>1</v>
      </c>
      <c r="AH35" s="37">
        <f t="shared" ca="1" si="33"/>
        <v>38.917808219178085</v>
      </c>
      <c r="AI35" s="31" t="str">
        <f t="shared" si="6"/>
        <v/>
      </c>
      <c r="AJ35" s="31">
        <f t="shared" si="13"/>
        <v>1</v>
      </c>
      <c r="AK35" s="31" t="str">
        <f t="shared" si="14"/>
        <v/>
      </c>
      <c r="AL35" s="31" t="str">
        <f t="shared" si="15"/>
        <v/>
      </c>
      <c r="AM35" s="31" t="str">
        <f t="shared" si="16"/>
        <v/>
      </c>
      <c r="AN35" s="31" t="str">
        <f t="shared" si="17"/>
        <v/>
      </c>
      <c r="AO35" s="31">
        <f t="shared" si="18"/>
        <v>1</v>
      </c>
      <c r="AP35" s="31" t="str">
        <f t="shared" si="19"/>
        <v/>
      </c>
      <c r="AQ35" s="31" t="str">
        <f t="shared" si="20"/>
        <v/>
      </c>
      <c r="AR35" s="37" t="str">
        <f t="shared" si="34"/>
        <v/>
      </c>
      <c r="AS35" s="37">
        <f t="shared" ca="1" si="22"/>
        <v>38.917808219178085</v>
      </c>
      <c r="AT35" s="31" t="str">
        <f t="shared" si="23"/>
        <v/>
      </c>
      <c r="AU35" s="31" t="str">
        <f t="shared" si="24"/>
        <v/>
      </c>
      <c r="AV35" s="31" t="str">
        <f t="shared" si="25"/>
        <v/>
      </c>
      <c r="AW35" s="31" t="str">
        <f t="shared" si="26"/>
        <v/>
      </c>
      <c r="AX35" s="31" t="str">
        <f t="shared" si="27"/>
        <v/>
      </c>
      <c r="AY35" s="31" t="str">
        <f t="shared" si="28"/>
        <v/>
      </c>
      <c r="AZ35" s="31" t="str">
        <f t="shared" si="29"/>
        <v/>
      </c>
      <c r="BA35" s="31" t="str">
        <f t="shared" si="30"/>
        <v/>
      </c>
      <c r="BB35" s="31" t="str">
        <f t="shared" ca="1" si="7"/>
        <v/>
      </c>
      <c r="BC35" s="31" t="str">
        <f t="shared" ca="1" si="8"/>
        <v/>
      </c>
      <c r="BD35" s="31" t="str">
        <f t="shared" ca="1" si="9"/>
        <v/>
      </c>
      <c r="BE35" s="31">
        <f t="shared" ca="1" si="10"/>
        <v>1</v>
      </c>
    </row>
    <row r="36" spans="1:57" x14ac:dyDescent="0.3">
      <c r="A36" s="25">
        <v>29</v>
      </c>
      <c r="B36" s="62" t="s">
        <v>190</v>
      </c>
      <c r="C36" s="50">
        <v>41102</v>
      </c>
      <c r="D36" s="50">
        <v>43622</v>
      </c>
      <c r="E36" s="51" t="str">
        <f t="shared" si="11"/>
        <v>Non</v>
      </c>
      <c r="F36" s="52" t="s">
        <v>191</v>
      </c>
      <c r="G36" s="53" t="s">
        <v>192</v>
      </c>
      <c r="H36" s="53" t="s">
        <v>63</v>
      </c>
      <c r="I36" s="52" t="s">
        <v>64</v>
      </c>
      <c r="J36" s="52" t="s">
        <v>65</v>
      </c>
      <c r="K36" s="50">
        <v>33156</v>
      </c>
      <c r="L36" s="74"/>
      <c r="M36" s="52" t="s">
        <v>66</v>
      </c>
      <c r="N36" s="52" t="s">
        <v>67</v>
      </c>
      <c r="O36" s="52" t="s">
        <v>68</v>
      </c>
      <c r="P36" s="52">
        <v>1</v>
      </c>
      <c r="Q36" s="52" t="s">
        <v>77</v>
      </c>
      <c r="R36" s="52">
        <v>5</v>
      </c>
      <c r="S36" s="54">
        <v>1840</v>
      </c>
      <c r="T36" s="55" t="s">
        <v>303</v>
      </c>
      <c r="U36" s="55" t="s">
        <v>149</v>
      </c>
      <c r="V36" s="56"/>
      <c r="W36" s="56"/>
      <c r="X36" s="55"/>
      <c r="Y36" s="34"/>
      <c r="Z36" s="34"/>
      <c r="AA36" s="32" t="s">
        <v>80</v>
      </c>
      <c r="AB36" s="36"/>
      <c r="AC36" s="31">
        <f t="shared" si="0"/>
        <v>2520</v>
      </c>
      <c r="AD36" s="31" t="str">
        <f t="shared" si="1"/>
        <v/>
      </c>
      <c r="AE36" s="31" t="str">
        <f t="shared" si="2"/>
        <v/>
      </c>
      <c r="AF36" s="31" t="str">
        <f t="shared" si="3"/>
        <v/>
      </c>
      <c r="AG36" s="31" t="str">
        <f t="shared" si="4"/>
        <v/>
      </c>
      <c r="AH36" s="37" t="str">
        <f t="shared" si="33"/>
        <v/>
      </c>
      <c r="AI36" s="31" t="str">
        <f t="shared" si="6"/>
        <v/>
      </c>
      <c r="AJ36" s="31" t="str">
        <f t="shared" si="13"/>
        <v/>
      </c>
      <c r="AK36" s="31" t="str">
        <f t="shared" si="14"/>
        <v/>
      </c>
      <c r="AL36" s="31" t="str">
        <f t="shared" si="15"/>
        <v/>
      </c>
      <c r="AM36" s="31" t="str">
        <f t="shared" si="16"/>
        <v/>
      </c>
      <c r="AN36" s="31" t="str">
        <f t="shared" si="17"/>
        <v/>
      </c>
      <c r="AO36" s="31" t="str">
        <f t="shared" si="18"/>
        <v/>
      </c>
      <c r="AP36" s="31" t="str">
        <f t="shared" si="19"/>
        <v/>
      </c>
      <c r="AQ36" s="31" t="str">
        <f t="shared" si="20"/>
        <v/>
      </c>
      <c r="AR36" s="37" t="str">
        <f t="shared" si="34"/>
        <v/>
      </c>
      <c r="AS36" s="37" t="str">
        <f t="shared" si="22"/>
        <v/>
      </c>
      <c r="AT36" s="31" t="str">
        <f t="shared" si="23"/>
        <v/>
      </c>
      <c r="AU36" s="31" t="str">
        <f t="shared" si="24"/>
        <v/>
      </c>
      <c r="AV36" s="31" t="str">
        <f t="shared" si="25"/>
        <v/>
      </c>
      <c r="AW36" s="31" t="str">
        <f t="shared" si="26"/>
        <v/>
      </c>
      <c r="AX36" s="31" t="str">
        <f t="shared" si="27"/>
        <v/>
      </c>
      <c r="AY36" s="31" t="str">
        <f t="shared" si="28"/>
        <v/>
      </c>
      <c r="AZ36" s="31" t="str">
        <f t="shared" si="29"/>
        <v/>
      </c>
      <c r="BA36" s="31" t="str">
        <f t="shared" si="30"/>
        <v/>
      </c>
      <c r="BB36" s="31" t="str">
        <f t="shared" ca="1" si="7"/>
        <v/>
      </c>
      <c r="BC36" s="31" t="str">
        <f t="shared" ca="1" si="8"/>
        <v/>
      </c>
      <c r="BD36" s="31" t="str">
        <f t="shared" ca="1" si="9"/>
        <v/>
      </c>
      <c r="BE36" s="31" t="str">
        <f t="shared" ca="1" si="10"/>
        <v/>
      </c>
    </row>
    <row r="37" spans="1:57" x14ac:dyDescent="0.3">
      <c r="A37" s="25">
        <v>30</v>
      </c>
      <c r="B37" s="60" t="s">
        <v>193</v>
      </c>
      <c r="C37" s="27">
        <v>41102</v>
      </c>
      <c r="D37" s="32"/>
      <c r="E37" s="28" t="str">
        <f t="shared" si="11"/>
        <v>Oui</v>
      </c>
      <c r="F37" s="29" t="s">
        <v>194</v>
      </c>
      <c r="G37" s="30" t="s">
        <v>195</v>
      </c>
      <c r="H37" s="31" t="s">
        <v>63</v>
      </c>
      <c r="I37" s="32" t="s">
        <v>84</v>
      </c>
      <c r="J37" s="32" t="s">
        <v>65</v>
      </c>
      <c r="K37" s="27">
        <v>36244</v>
      </c>
      <c r="L37" s="74">
        <f t="shared" ca="1" si="12"/>
        <v>8623</v>
      </c>
      <c r="M37" s="32" t="s">
        <v>66</v>
      </c>
      <c r="N37" s="32" t="s">
        <v>67</v>
      </c>
      <c r="O37" s="32" t="s">
        <v>68</v>
      </c>
      <c r="P37" s="32">
        <v>1</v>
      </c>
      <c r="Q37" s="32" t="s">
        <v>77</v>
      </c>
      <c r="R37" s="32">
        <v>3</v>
      </c>
      <c r="S37" s="33">
        <v>2289</v>
      </c>
      <c r="T37" s="34" t="s">
        <v>87</v>
      </c>
      <c r="U37" s="34" t="s">
        <v>88</v>
      </c>
      <c r="V37" s="35"/>
      <c r="W37" s="35"/>
      <c r="X37" s="34"/>
      <c r="Y37" s="34"/>
      <c r="Z37" s="34"/>
      <c r="AA37" s="32"/>
      <c r="AB37" s="36"/>
      <c r="AC37" s="31">
        <f t="shared" ca="1" si="0"/>
        <v>3765</v>
      </c>
      <c r="AD37" s="31">
        <f t="shared" si="1"/>
        <v>1</v>
      </c>
      <c r="AE37" s="31">
        <f t="shared" si="2"/>
        <v>1</v>
      </c>
      <c r="AF37" s="31" t="str">
        <f t="shared" si="3"/>
        <v/>
      </c>
      <c r="AG37" s="31">
        <f t="shared" si="4"/>
        <v>1</v>
      </c>
      <c r="AH37" s="37">
        <f t="shared" ca="1" si="33"/>
        <v>23.624657534246577</v>
      </c>
      <c r="AI37" s="31" t="str">
        <f t="shared" si="6"/>
        <v/>
      </c>
      <c r="AJ37" s="31">
        <f t="shared" si="13"/>
        <v>1</v>
      </c>
      <c r="AK37" s="31" t="str">
        <f t="shared" si="14"/>
        <v/>
      </c>
      <c r="AL37" s="31" t="str">
        <f t="shared" si="15"/>
        <v/>
      </c>
      <c r="AM37" s="31" t="str">
        <f t="shared" si="16"/>
        <v/>
      </c>
      <c r="AN37" s="31" t="str">
        <f t="shared" si="17"/>
        <v/>
      </c>
      <c r="AO37" s="31" t="str">
        <f t="shared" si="18"/>
        <v/>
      </c>
      <c r="AP37" s="31" t="str">
        <f t="shared" si="19"/>
        <v/>
      </c>
      <c r="AQ37" s="31">
        <f t="shared" si="20"/>
        <v>1</v>
      </c>
      <c r="AR37" s="37">
        <f t="shared" ca="1" si="34"/>
        <v>23.624657534246577</v>
      </c>
      <c r="AS37" s="37" t="str">
        <f t="shared" si="22"/>
        <v/>
      </c>
      <c r="AT37" s="31">
        <f t="shared" si="23"/>
        <v>1</v>
      </c>
      <c r="AU37" s="31" t="str">
        <f t="shared" si="24"/>
        <v/>
      </c>
      <c r="AV37" s="31" t="str">
        <f t="shared" si="25"/>
        <v/>
      </c>
      <c r="AW37" s="31" t="str">
        <f t="shared" si="26"/>
        <v/>
      </c>
      <c r="AX37" s="31" t="str">
        <f t="shared" si="27"/>
        <v/>
      </c>
      <c r="AY37" s="31" t="str">
        <f t="shared" si="28"/>
        <v/>
      </c>
      <c r="AZ37" s="31" t="str">
        <f t="shared" si="29"/>
        <v/>
      </c>
      <c r="BA37" s="31">
        <f t="shared" si="30"/>
        <v>1</v>
      </c>
      <c r="BB37" s="31" t="str">
        <f t="shared" ca="1" si="7"/>
        <v/>
      </c>
      <c r="BC37" s="31" t="str">
        <f t="shared" ca="1" si="8"/>
        <v/>
      </c>
      <c r="BD37" s="31" t="str">
        <f t="shared" ca="1" si="9"/>
        <v/>
      </c>
      <c r="BE37" s="31" t="str">
        <f t="shared" ca="1" si="10"/>
        <v/>
      </c>
    </row>
    <row r="38" spans="1:57" x14ac:dyDescent="0.3">
      <c r="A38" s="25">
        <v>31</v>
      </c>
      <c r="B38" s="59" t="s">
        <v>196</v>
      </c>
      <c r="C38" s="39">
        <v>43201</v>
      </c>
      <c r="D38" s="44"/>
      <c r="E38" s="40" t="str">
        <f t="shared" si="11"/>
        <v>Oui</v>
      </c>
      <c r="F38" s="41" t="s">
        <v>197</v>
      </c>
      <c r="G38" s="42" t="s">
        <v>198</v>
      </c>
      <c r="H38" s="43" t="s">
        <v>63</v>
      </c>
      <c r="I38" s="44" t="s">
        <v>84</v>
      </c>
      <c r="J38" s="44" t="s">
        <v>199</v>
      </c>
      <c r="K38" s="39">
        <v>31607</v>
      </c>
      <c r="L38" s="74">
        <f t="shared" ca="1" si="12"/>
        <v>13260</v>
      </c>
      <c r="M38" s="44" t="s">
        <v>114</v>
      </c>
      <c r="N38" s="44" t="s">
        <v>67</v>
      </c>
      <c r="O38" s="45">
        <v>0.75</v>
      </c>
      <c r="P38" s="44">
        <v>0.75</v>
      </c>
      <c r="Q38" s="44" t="s">
        <v>77</v>
      </c>
      <c r="R38" s="44">
        <v>4</v>
      </c>
      <c r="S38" s="46">
        <v>2020</v>
      </c>
      <c r="T38" s="47" t="s">
        <v>303</v>
      </c>
      <c r="U38" s="47" t="s">
        <v>149</v>
      </c>
      <c r="V38" s="48"/>
      <c r="W38" s="48"/>
      <c r="X38" s="47"/>
      <c r="Y38" s="34"/>
      <c r="Z38" s="34"/>
      <c r="AA38" s="32"/>
      <c r="AB38" s="36"/>
      <c r="AC38" s="31">
        <f t="shared" ca="1" si="0"/>
        <v>1666</v>
      </c>
      <c r="AD38" s="31">
        <f t="shared" si="1"/>
        <v>1</v>
      </c>
      <c r="AE38" s="31">
        <f t="shared" si="2"/>
        <v>1</v>
      </c>
      <c r="AF38" s="31" t="str">
        <f t="shared" si="3"/>
        <v/>
      </c>
      <c r="AG38" s="31">
        <f t="shared" si="4"/>
        <v>0.75</v>
      </c>
      <c r="AH38" s="37">
        <f t="shared" ca="1" si="33"/>
        <v>36.328767123287669</v>
      </c>
      <c r="AI38" s="31">
        <f t="shared" si="6"/>
        <v>1</v>
      </c>
      <c r="AJ38" s="31">
        <f t="shared" si="13"/>
        <v>1</v>
      </c>
      <c r="AK38" s="31" t="str">
        <f t="shared" si="14"/>
        <v/>
      </c>
      <c r="AL38" s="31" t="str">
        <f t="shared" si="15"/>
        <v/>
      </c>
      <c r="AM38" s="31" t="str">
        <f t="shared" si="16"/>
        <v/>
      </c>
      <c r="AN38" s="31" t="str">
        <f t="shared" si="17"/>
        <v/>
      </c>
      <c r="AO38" s="31" t="str">
        <f t="shared" si="18"/>
        <v/>
      </c>
      <c r="AP38" s="31" t="str">
        <f t="shared" si="19"/>
        <v/>
      </c>
      <c r="AQ38" s="31">
        <f t="shared" si="20"/>
        <v>1</v>
      </c>
      <c r="AR38" s="37">
        <f t="shared" ca="1" si="34"/>
        <v>36.328767123287669</v>
      </c>
      <c r="AS38" s="37" t="str">
        <f t="shared" si="22"/>
        <v/>
      </c>
      <c r="AT38" s="31">
        <f t="shared" si="23"/>
        <v>1</v>
      </c>
      <c r="AU38" s="31" t="str">
        <f t="shared" si="24"/>
        <v/>
      </c>
      <c r="AV38" s="31" t="str">
        <f t="shared" si="25"/>
        <v/>
      </c>
      <c r="AW38" s="31" t="str">
        <f t="shared" si="26"/>
        <v/>
      </c>
      <c r="AX38" s="31" t="str">
        <f t="shared" si="27"/>
        <v/>
      </c>
      <c r="AY38" s="31" t="str">
        <f t="shared" si="28"/>
        <v/>
      </c>
      <c r="AZ38" s="31" t="str">
        <f t="shared" si="29"/>
        <v/>
      </c>
      <c r="BA38" s="31">
        <f t="shared" si="30"/>
        <v>1</v>
      </c>
      <c r="BB38" s="31" t="str">
        <f t="shared" ca="1" si="7"/>
        <v/>
      </c>
      <c r="BC38" s="31" t="str">
        <f t="shared" ca="1" si="8"/>
        <v/>
      </c>
      <c r="BD38" s="31" t="str">
        <f t="shared" ca="1" si="9"/>
        <v/>
      </c>
      <c r="BE38" s="31" t="str">
        <f t="shared" ca="1" si="10"/>
        <v/>
      </c>
    </row>
    <row r="39" spans="1:57" x14ac:dyDescent="0.3">
      <c r="A39" s="25">
        <v>32</v>
      </c>
      <c r="B39" s="60" t="s">
        <v>200</v>
      </c>
      <c r="C39" s="27">
        <v>41102</v>
      </c>
      <c r="D39" s="32"/>
      <c r="E39" s="28" t="str">
        <f t="shared" si="11"/>
        <v>Oui</v>
      </c>
      <c r="F39" s="29" t="s">
        <v>201</v>
      </c>
      <c r="G39" s="30" t="s">
        <v>202</v>
      </c>
      <c r="H39" s="31" t="s">
        <v>63</v>
      </c>
      <c r="I39" s="32" t="s">
        <v>64</v>
      </c>
      <c r="J39" s="32" t="s">
        <v>203</v>
      </c>
      <c r="K39" s="27">
        <v>30832</v>
      </c>
      <c r="L39" s="74">
        <f t="shared" ca="1" si="12"/>
        <v>14035</v>
      </c>
      <c r="M39" s="32" t="s">
        <v>66</v>
      </c>
      <c r="N39" s="32" t="s">
        <v>67</v>
      </c>
      <c r="O39" s="32" t="s">
        <v>68</v>
      </c>
      <c r="P39" s="32">
        <v>1</v>
      </c>
      <c r="Q39" s="32" t="s">
        <v>77</v>
      </c>
      <c r="R39" s="32">
        <v>4</v>
      </c>
      <c r="S39" s="33">
        <v>2000</v>
      </c>
      <c r="T39" s="34" t="s">
        <v>121</v>
      </c>
      <c r="U39" s="34" t="s">
        <v>88</v>
      </c>
      <c r="V39" s="35"/>
      <c r="W39" s="35"/>
      <c r="X39" s="34"/>
      <c r="Y39" s="34"/>
      <c r="Z39" s="34"/>
      <c r="AA39" s="32"/>
      <c r="AB39" s="36"/>
      <c r="AC39" s="31">
        <f t="shared" ca="1" si="0"/>
        <v>3765</v>
      </c>
      <c r="AD39" s="31">
        <f t="shared" si="1"/>
        <v>1</v>
      </c>
      <c r="AE39" s="31" t="str">
        <f t="shared" si="2"/>
        <v/>
      </c>
      <c r="AF39" s="31">
        <f t="shared" si="3"/>
        <v>1</v>
      </c>
      <c r="AG39" s="31">
        <f t="shared" si="4"/>
        <v>1</v>
      </c>
      <c r="AH39" s="37">
        <f t="shared" ca="1" si="33"/>
        <v>38.452054794520549</v>
      </c>
      <c r="AI39" s="31" t="str">
        <f t="shared" si="6"/>
        <v/>
      </c>
      <c r="AJ39" s="31">
        <f t="shared" si="13"/>
        <v>1</v>
      </c>
      <c r="AK39" s="31" t="str">
        <f t="shared" si="14"/>
        <v/>
      </c>
      <c r="AL39" s="31" t="str">
        <f t="shared" si="15"/>
        <v/>
      </c>
      <c r="AM39" s="31" t="str">
        <f t="shared" si="16"/>
        <v/>
      </c>
      <c r="AN39" s="31" t="str">
        <f t="shared" si="17"/>
        <v/>
      </c>
      <c r="AO39" s="31" t="str">
        <f t="shared" si="18"/>
        <v/>
      </c>
      <c r="AP39" s="31" t="str">
        <f t="shared" si="19"/>
        <v/>
      </c>
      <c r="AQ39" s="31">
        <f t="shared" si="20"/>
        <v>1</v>
      </c>
      <c r="AR39" s="37" t="str">
        <f t="shared" si="34"/>
        <v/>
      </c>
      <c r="AS39" s="37">
        <f t="shared" ca="1" si="22"/>
        <v>38.452054794520549</v>
      </c>
      <c r="AT39" s="31" t="str">
        <f t="shared" si="23"/>
        <v/>
      </c>
      <c r="AU39" s="31" t="str">
        <f t="shared" si="24"/>
        <v/>
      </c>
      <c r="AV39" s="31" t="str">
        <f t="shared" si="25"/>
        <v/>
      </c>
      <c r="AW39" s="31" t="str">
        <f t="shared" si="26"/>
        <v/>
      </c>
      <c r="AX39" s="31" t="str">
        <f t="shared" si="27"/>
        <v/>
      </c>
      <c r="AY39" s="31" t="str">
        <f t="shared" si="28"/>
        <v/>
      </c>
      <c r="AZ39" s="31" t="str">
        <f t="shared" si="29"/>
        <v/>
      </c>
      <c r="BA39" s="31" t="str">
        <f t="shared" si="30"/>
        <v/>
      </c>
      <c r="BB39" s="31" t="str">
        <f t="shared" ca="1" si="7"/>
        <v/>
      </c>
      <c r="BC39" s="31" t="str">
        <f t="shared" ca="1" si="8"/>
        <v/>
      </c>
      <c r="BD39" s="31" t="str">
        <f t="shared" ca="1" si="9"/>
        <v/>
      </c>
      <c r="BE39" s="31" t="str">
        <f t="shared" ca="1" si="10"/>
        <v/>
      </c>
    </row>
    <row r="40" spans="1:57" x14ac:dyDescent="0.3">
      <c r="A40" s="25">
        <v>33</v>
      </c>
      <c r="B40" s="60" t="s">
        <v>204</v>
      </c>
      <c r="C40" s="27">
        <v>43891</v>
      </c>
      <c r="D40" s="32"/>
      <c r="E40" s="28" t="str">
        <f t="shared" si="11"/>
        <v>Oui</v>
      </c>
      <c r="F40" s="29" t="s">
        <v>205</v>
      </c>
      <c r="G40" s="30" t="s">
        <v>206</v>
      </c>
      <c r="H40" s="31" t="s">
        <v>63</v>
      </c>
      <c r="I40" s="32" t="s">
        <v>64</v>
      </c>
      <c r="J40" s="32" t="s">
        <v>207</v>
      </c>
      <c r="K40" s="27">
        <v>37305</v>
      </c>
      <c r="L40" s="74">
        <f t="shared" ca="1" si="12"/>
        <v>7562</v>
      </c>
      <c r="M40" s="32" t="s">
        <v>66</v>
      </c>
      <c r="N40" s="32" t="s">
        <v>99</v>
      </c>
      <c r="O40" s="32" t="s">
        <v>68</v>
      </c>
      <c r="P40" s="32">
        <v>1</v>
      </c>
      <c r="Q40" s="32" t="s">
        <v>77</v>
      </c>
      <c r="R40" s="32">
        <v>4</v>
      </c>
      <c r="S40" s="33">
        <v>2080</v>
      </c>
      <c r="T40" s="34" t="s">
        <v>303</v>
      </c>
      <c r="U40" s="34" t="s">
        <v>149</v>
      </c>
      <c r="V40" s="35"/>
      <c r="W40" s="35"/>
      <c r="X40" s="34" t="s">
        <v>170</v>
      </c>
      <c r="Y40" s="34">
        <v>6</v>
      </c>
      <c r="Z40" s="34">
        <v>4</v>
      </c>
      <c r="AA40" s="32"/>
      <c r="AB40" s="36"/>
      <c r="AC40" s="31">
        <f t="shared" ca="1" si="0"/>
        <v>976</v>
      </c>
      <c r="AD40" s="31">
        <f t="shared" si="1"/>
        <v>1</v>
      </c>
      <c r="AE40" s="31" t="str">
        <f t="shared" si="2"/>
        <v/>
      </c>
      <c r="AF40" s="31">
        <f t="shared" si="3"/>
        <v>1</v>
      </c>
      <c r="AG40" s="31">
        <f t="shared" si="4"/>
        <v>1</v>
      </c>
      <c r="AH40" s="37">
        <f t="shared" ca="1" si="33"/>
        <v>20.717808219178082</v>
      </c>
      <c r="AI40" s="31" t="str">
        <f t="shared" si="6"/>
        <v/>
      </c>
      <c r="AJ40" s="31" t="str">
        <f t="shared" si="13"/>
        <v/>
      </c>
      <c r="AK40" s="31" t="str">
        <f t="shared" si="14"/>
        <v/>
      </c>
      <c r="AL40" s="31">
        <f t="shared" si="15"/>
        <v>1</v>
      </c>
      <c r="AM40" s="31" t="str">
        <f t="shared" si="16"/>
        <v/>
      </c>
      <c r="AN40" s="31" t="str">
        <f t="shared" si="17"/>
        <v/>
      </c>
      <c r="AO40" s="31" t="str">
        <f t="shared" si="18"/>
        <v/>
      </c>
      <c r="AP40" s="31" t="str">
        <f t="shared" si="19"/>
        <v/>
      </c>
      <c r="AQ40" s="31">
        <f t="shared" si="20"/>
        <v>1</v>
      </c>
      <c r="AR40" s="37" t="str">
        <f t="shared" si="34"/>
        <v/>
      </c>
      <c r="AS40" s="37">
        <f t="shared" ca="1" si="22"/>
        <v>20.717808219178082</v>
      </c>
      <c r="AT40" s="31" t="str">
        <f t="shared" si="23"/>
        <v/>
      </c>
      <c r="AU40" s="31" t="str">
        <f t="shared" si="24"/>
        <v/>
      </c>
      <c r="AV40" s="31" t="str">
        <f t="shared" si="25"/>
        <v/>
      </c>
      <c r="AW40" s="31" t="str">
        <f t="shared" si="26"/>
        <v/>
      </c>
      <c r="AX40" s="31" t="str">
        <f t="shared" si="27"/>
        <v/>
      </c>
      <c r="AY40" s="31" t="str">
        <f t="shared" si="28"/>
        <v/>
      </c>
      <c r="AZ40" s="31" t="str">
        <f t="shared" si="29"/>
        <v/>
      </c>
      <c r="BA40" s="31" t="str">
        <f t="shared" si="30"/>
        <v/>
      </c>
      <c r="BB40" s="31" t="str">
        <f t="shared" ref="BB40:BB57" ca="1" si="35">IF($D40&gt;$BB$5,1,"")</f>
        <v/>
      </c>
      <c r="BC40" s="31" t="str">
        <f t="shared" ref="BC40:BC57" ca="1" si="36">IF(AND($D40&gt;$BC$5,$D40&lt;$BB$5),1,"")</f>
        <v/>
      </c>
      <c r="BD40" s="31" t="str">
        <f t="shared" ref="BD40:BD57" ca="1" si="37">IF($C40&gt;$BB$5,1,"")</f>
        <v/>
      </c>
      <c r="BE40" s="31" t="str">
        <f t="shared" ref="BE40:BE57" ca="1" si="38">IF(AND($C40&gt;$BC$5,$C40&lt;$BB$5),1,"")</f>
        <v/>
      </c>
    </row>
    <row r="41" spans="1:57" x14ac:dyDescent="0.3">
      <c r="A41" s="25">
        <v>34</v>
      </c>
      <c r="B41" s="60" t="s">
        <v>208</v>
      </c>
      <c r="C41" s="27">
        <v>42835</v>
      </c>
      <c r="D41" s="32"/>
      <c r="E41" s="28" t="str">
        <f t="shared" si="11"/>
        <v>Oui</v>
      </c>
      <c r="F41" s="29" t="s">
        <v>209</v>
      </c>
      <c r="G41" s="30" t="s">
        <v>210</v>
      </c>
      <c r="H41" s="31" t="s">
        <v>63</v>
      </c>
      <c r="I41" s="32" t="s">
        <v>84</v>
      </c>
      <c r="J41" s="32" t="s">
        <v>65</v>
      </c>
      <c r="K41" s="27">
        <v>28811</v>
      </c>
      <c r="L41" s="74">
        <f t="shared" ca="1" si="12"/>
        <v>16056</v>
      </c>
      <c r="M41" s="32" t="s">
        <v>66</v>
      </c>
      <c r="N41" s="32" t="s">
        <v>67</v>
      </c>
      <c r="O41" s="32" t="s">
        <v>68</v>
      </c>
      <c r="P41" s="32">
        <v>1</v>
      </c>
      <c r="Q41" s="32" t="s">
        <v>77</v>
      </c>
      <c r="R41" s="32">
        <v>3</v>
      </c>
      <c r="S41" s="33">
        <v>2078</v>
      </c>
      <c r="T41" s="34" t="s">
        <v>78</v>
      </c>
      <c r="U41" s="34" t="s">
        <v>79</v>
      </c>
      <c r="V41" s="35"/>
      <c r="W41" s="35"/>
      <c r="X41" s="34"/>
      <c r="Y41" s="34"/>
      <c r="Z41" s="34"/>
      <c r="AA41" s="32"/>
      <c r="AB41" s="36"/>
      <c r="AC41" s="31">
        <f t="shared" ca="1" si="0"/>
        <v>2032</v>
      </c>
      <c r="AD41" s="31">
        <f t="shared" si="1"/>
        <v>1</v>
      </c>
      <c r="AE41" s="31">
        <f t="shared" si="2"/>
        <v>1</v>
      </c>
      <c r="AF41" s="31" t="str">
        <f t="shared" si="3"/>
        <v/>
      </c>
      <c r="AG41" s="31">
        <f t="shared" si="4"/>
        <v>1</v>
      </c>
      <c r="AH41" s="37">
        <f t="shared" ca="1" si="33"/>
        <v>43.989041095890414</v>
      </c>
      <c r="AI41" s="31" t="str">
        <f t="shared" si="6"/>
        <v/>
      </c>
      <c r="AJ41" s="31">
        <f t="shared" si="13"/>
        <v>1</v>
      </c>
      <c r="AK41" s="31" t="str">
        <f t="shared" si="14"/>
        <v/>
      </c>
      <c r="AL41" s="31" t="str">
        <f t="shared" si="15"/>
        <v/>
      </c>
      <c r="AM41" s="31" t="str">
        <f t="shared" si="16"/>
        <v/>
      </c>
      <c r="AN41" s="31" t="str">
        <f t="shared" si="17"/>
        <v/>
      </c>
      <c r="AO41" s="31" t="str">
        <f t="shared" si="18"/>
        <v/>
      </c>
      <c r="AP41" s="31" t="str">
        <f t="shared" si="19"/>
        <v/>
      </c>
      <c r="AQ41" s="31">
        <f t="shared" si="20"/>
        <v>1</v>
      </c>
      <c r="AR41" s="37">
        <f t="shared" ca="1" si="34"/>
        <v>43.989041095890414</v>
      </c>
      <c r="AS41" s="37" t="str">
        <f t="shared" si="22"/>
        <v/>
      </c>
      <c r="AT41" s="31">
        <f t="shared" si="23"/>
        <v>1</v>
      </c>
      <c r="AU41" s="31" t="str">
        <f t="shared" si="24"/>
        <v/>
      </c>
      <c r="AV41" s="31" t="str">
        <f t="shared" si="25"/>
        <v/>
      </c>
      <c r="AW41" s="31" t="str">
        <f t="shared" si="26"/>
        <v/>
      </c>
      <c r="AX41" s="31" t="str">
        <f t="shared" si="27"/>
        <v/>
      </c>
      <c r="AY41" s="31" t="str">
        <f t="shared" si="28"/>
        <v/>
      </c>
      <c r="AZ41" s="31" t="str">
        <f t="shared" si="29"/>
        <v/>
      </c>
      <c r="BA41" s="31">
        <f t="shared" si="30"/>
        <v>1</v>
      </c>
      <c r="BB41" s="31" t="str">
        <f t="shared" ca="1" si="35"/>
        <v/>
      </c>
      <c r="BC41" s="31" t="str">
        <f t="shared" ca="1" si="36"/>
        <v/>
      </c>
      <c r="BD41" s="31" t="str">
        <f t="shared" ca="1" si="37"/>
        <v/>
      </c>
      <c r="BE41" s="31" t="str">
        <f t="shared" ca="1" si="38"/>
        <v/>
      </c>
    </row>
    <row r="42" spans="1:57" x14ac:dyDescent="0.3">
      <c r="A42" s="25">
        <v>35</v>
      </c>
      <c r="B42" s="62" t="s">
        <v>211</v>
      </c>
      <c r="C42" s="50">
        <v>41102</v>
      </c>
      <c r="D42" s="50">
        <v>44377</v>
      </c>
      <c r="E42" s="51" t="str">
        <f t="shared" si="11"/>
        <v>Non</v>
      </c>
      <c r="F42" s="52" t="s">
        <v>212</v>
      </c>
      <c r="G42" s="53" t="s">
        <v>213</v>
      </c>
      <c r="H42" s="53" t="s">
        <v>63</v>
      </c>
      <c r="I42" s="52" t="s">
        <v>84</v>
      </c>
      <c r="J42" s="52" t="s">
        <v>76</v>
      </c>
      <c r="K42" s="50">
        <v>32363</v>
      </c>
      <c r="L42" s="74"/>
      <c r="M42" s="52" t="s">
        <v>66</v>
      </c>
      <c r="N42" s="52" t="s">
        <v>67</v>
      </c>
      <c r="O42" s="52" t="s">
        <v>68</v>
      </c>
      <c r="P42" s="52">
        <v>1</v>
      </c>
      <c r="Q42" s="52" t="s">
        <v>77</v>
      </c>
      <c r="R42" s="52">
        <v>3</v>
      </c>
      <c r="S42" s="54">
        <v>2547</v>
      </c>
      <c r="T42" s="55" t="s">
        <v>93</v>
      </c>
      <c r="U42" s="55" t="s">
        <v>88</v>
      </c>
      <c r="V42" s="35"/>
      <c r="W42" s="35"/>
      <c r="X42" s="34"/>
      <c r="Y42" s="34"/>
      <c r="Z42" s="34"/>
      <c r="AA42" s="32" t="s">
        <v>80</v>
      </c>
      <c r="AB42" s="36"/>
      <c r="AC42" s="31">
        <f t="shared" si="0"/>
        <v>3275</v>
      </c>
      <c r="AD42" s="31" t="str">
        <f t="shared" si="1"/>
        <v/>
      </c>
      <c r="AE42" s="31" t="str">
        <f t="shared" si="2"/>
        <v/>
      </c>
      <c r="AF42" s="31" t="str">
        <f t="shared" si="3"/>
        <v/>
      </c>
      <c r="AG42" s="31" t="str">
        <f t="shared" si="4"/>
        <v/>
      </c>
      <c r="AH42" s="37" t="str">
        <f t="shared" si="33"/>
        <v/>
      </c>
      <c r="AI42" s="31" t="str">
        <f t="shared" si="6"/>
        <v/>
      </c>
      <c r="AJ42" s="31" t="str">
        <f t="shared" si="13"/>
        <v/>
      </c>
      <c r="AK42" s="31" t="str">
        <f t="shared" si="14"/>
        <v/>
      </c>
      <c r="AL42" s="31" t="str">
        <f t="shared" si="15"/>
        <v/>
      </c>
      <c r="AM42" s="31" t="str">
        <f t="shared" si="16"/>
        <v/>
      </c>
      <c r="AN42" s="31" t="str">
        <f t="shared" si="17"/>
        <v/>
      </c>
      <c r="AO42" s="31" t="str">
        <f t="shared" si="18"/>
        <v/>
      </c>
      <c r="AP42" s="31" t="str">
        <f t="shared" si="19"/>
        <v/>
      </c>
      <c r="AQ42" s="31" t="str">
        <f t="shared" si="20"/>
        <v/>
      </c>
      <c r="AR42" s="37" t="str">
        <f t="shared" si="34"/>
        <v/>
      </c>
      <c r="AS42" s="37" t="str">
        <f t="shared" si="22"/>
        <v/>
      </c>
      <c r="AT42" s="31" t="str">
        <f t="shared" si="23"/>
        <v/>
      </c>
      <c r="AU42" s="31" t="str">
        <f t="shared" si="24"/>
        <v/>
      </c>
      <c r="AV42" s="31" t="str">
        <f t="shared" si="25"/>
        <v/>
      </c>
      <c r="AW42" s="31" t="str">
        <f t="shared" si="26"/>
        <v/>
      </c>
      <c r="AX42" s="31" t="str">
        <f t="shared" si="27"/>
        <v/>
      </c>
      <c r="AY42" s="31" t="str">
        <f t="shared" si="28"/>
        <v/>
      </c>
      <c r="AZ42" s="31" t="str">
        <f t="shared" si="29"/>
        <v/>
      </c>
      <c r="BA42" s="31" t="str">
        <f t="shared" si="30"/>
        <v/>
      </c>
      <c r="BB42" s="31" t="str">
        <f t="shared" ca="1" si="35"/>
        <v/>
      </c>
      <c r="BC42" s="31">
        <f t="shared" ca="1" si="36"/>
        <v>1</v>
      </c>
      <c r="BD42" s="31" t="str">
        <f t="shared" ca="1" si="37"/>
        <v/>
      </c>
      <c r="BE42" s="31" t="str">
        <f t="shared" ca="1" si="38"/>
        <v/>
      </c>
    </row>
    <row r="43" spans="1:57" x14ac:dyDescent="0.3">
      <c r="A43" s="25">
        <v>36</v>
      </c>
      <c r="B43" s="60" t="s">
        <v>214</v>
      </c>
      <c r="C43" s="27">
        <v>43434</v>
      </c>
      <c r="D43" s="32"/>
      <c r="E43" s="28" t="str">
        <f t="shared" si="11"/>
        <v>Oui</v>
      </c>
      <c r="F43" s="29" t="s">
        <v>215</v>
      </c>
      <c r="G43" s="30" t="s">
        <v>216</v>
      </c>
      <c r="H43" s="31" t="s">
        <v>63</v>
      </c>
      <c r="I43" s="32" t="s">
        <v>84</v>
      </c>
      <c r="J43" s="32" t="s">
        <v>217</v>
      </c>
      <c r="K43" s="27">
        <v>24048</v>
      </c>
      <c r="L43" s="74">
        <f t="shared" ca="1" si="12"/>
        <v>20819</v>
      </c>
      <c r="M43" s="32" t="s">
        <v>66</v>
      </c>
      <c r="N43" s="32" t="s">
        <v>67</v>
      </c>
      <c r="O43" s="32" t="s">
        <v>68</v>
      </c>
      <c r="P43" s="32">
        <v>1</v>
      </c>
      <c r="Q43" s="32" t="s">
        <v>69</v>
      </c>
      <c r="R43" s="32">
        <v>1</v>
      </c>
      <c r="S43" s="33">
        <v>4987</v>
      </c>
      <c r="T43" s="34" t="s">
        <v>121</v>
      </c>
      <c r="U43" s="34" t="s">
        <v>94</v>
      </c>
      <c r="V43" s="35"/>
      <c r="W43" s="35"/>
      <c r="X43" s="34"/>
      <c r="Y43" s="34"/>
      <c r="Z43" s="34"/>
      <c r="AA43" s="32"/>
      <c r="AB43" s="36"/>
      <c r="AC43" s="31">
        <f t="shared" ca="1" si="0"/>
        <v>1433</v>
      </c>
      <c r="AD43" s="31">
        <f t="shared" si="1"/>
        <v>1</v>
      </c>
      <c r="AE43" s="31">
        <f t="shared" si="2"/>
        <v>1</v>
      </c>
      <c r="AF43" s="31" t="str">
        <f t="shared" si="3"/>
        <v/>
      </c>
      <c r="AG43" s="31">
        <f t="shared" si="4"/>
        <v>1</v>
      </c>
      <c r="AH43" s="37">
        <f t="shared" ca="1" si="33"/>
        <v>57.038356164383565</v>
      </c>
      <c r="AI43" s="31" t="str">
        <f t="shared" si="6"/>
        <v/>
      </c>
      <c r="AJ43" s="31">
        <f t="shared" si="13"/>
        <v>1</v>
      </c>
      <c r="AK43" s="31" t="str">
        <f t="shared" si="14"/>
        <v/>
      </c>
      <c r="AL43" s="31" t="str">
        <f t="shared" si="15"/>
        <v/>
      </c>
      <c r="AM43" s="31" t="str">
        <f t="shared" si="16"/>
        <v/>
      </c>
      <c r="AN43" s="31" t="str">
        <f t="shared" si="17"/>
        <v/>
      </c>
      <c r="AO43" s="31">
        <f t="shared" si="18"/>
        <v>1</v>
      </c>
      <c r="AP43" s="31" t="str">
        <f t="shared" si="19"/>
        <v/>
      </c>
      <c r="AQ43" s="31" t="str">
        <f t="shared" si="20"/>
        <v/>
      </c>
      <c r="AR43" s="37">
        <f t="shared" ca="1" si="34"/>
        <v>57.038356164383565</v>
      </c>
      <c r="AS43" s="37" t="str">
        <f t="shared" si="22"/>
        <v/>
      </c>
      <c r="AT43" s="31">
        <f t="shared" si="23"/>
        <v>1</v>
      </c>
      <c r="AU43" s="31" t="str">
        <f t="shared" si="24"/>
        <v/>
      </c>
      <c r="AV43" s="31" t="str">
        <f t="shared" si="25"/>
        <v/>
      </c>
      <c r="AW43" s="31" t="str">
        <f t="shared" si="26"/>
        <v/>
      </c>
      <c r="AX43" s="31" t="str">
        <f t="shared" si="27"/>
        <v/>
      </c>
      <c r="AY43" s="31">
        <f t="shared" si="28"/>
        <v>1</v>
      </c>
      <c r="AZ43" s="31" t="str">
        <f t="shared" si="29"/>
        <v/>
      </c>
      <c r="BA43" s="31" t="str">
        <f t="shared" si="30"/>
        <v/>
      </c>
      <c r="BB43" s="31" t="str">
        <f t="shared" ca="1" si="35"/>
        <v/>
      </c>
      <c r="BC43" s="31" t="str">
        <f t="shared" ca="1" si="36"/>
        <v/>
      </c>
      <c r="BD43" s="31" t="str">
        <f t="shared" ca="1" si="37"/>
        <v/>
      </c>
      <c r="BE43" s="31" t="str">
        <f t="shared" ca="1" si="38"/>
        <v/>
      </c>
    </row>
    <row r="44" spans="1:57" x14ac:dyDescent="0.3">
      <c r="A44" s="25">
        <v>37</v>
      </c>
      <c r="B44" s="60" t="s">
        <v>218</v>
      </c>
      <c r="C44" s="27">
        <v>43314</v>
      </c>
      <c r="D44" s="32"/>
      <c r="E44" s="28" t="str">
        <f t="shared" si="11"/>
        <v>Oui</v>
      </c>
      <c r="F44" s="29" t="s">
        <v>219</v>
      </c>
      <c r="G44" s="30" t="s">
        <v>220</v>
      </c>
      <c r="H44" s="31" t="s">
        <v>63</v>
      </c>
      <c r="I44" s="32" t="s">
        <v>84</v>
      </c>
      <c r="J44" s="32" t="s">
        <v>221</v>
      </c>
      <c r="K44" s="27">
        <v>32934</v>
      </c>
      <c r="L44" s="74">
        <f t="shared" ca="1" si="12"/>
        <v>11933</v>
      </c>
      <c r="M44" s="32" t="s">
        <v>66</v>
      </c>
      <c r="N44" s="32" t="s">
        <v>67</v>
      </c>
      <c r="O44" s="32" t="s">
        <v>68</v>
      </c>
      <c r="P44" s="32">
        <v>1</v>
      </c>
      <c r="Q44" s="32" t="s">
        <v>77</v>
      </c>
      <c r="R44" s="32">
        <v>3</v>
      </c>
      <c r="S44" s="33">
        <v>2420</v>
      </c>
      <c r="T44" s="34" t="s">
        <v>87</v>
      </c>
      <c r="U44" s="34" t="s">
        <v>88</v>
      </c>
      <c r="V44" s="35"/>
      <c r="W44" s="35"/>
      <c r="X44" s="34"/>
      <c r="Y44" s="34"/>
      <c r="Z44" s="34"/>
      <c r="AA44" s="32"/>
      <c r="AB44" s="36"/>
      <c r="AC44" s="31">
        <f t="shared" ca="1" si="0"/>
        <v>1553</v>
      </c>
      <c r="AD44" s="31">
        <f t="shared" si="1"/>
        <v>1</v>
      </c>
      <c r="AE44" s="31">
        <f t="shared" si="2"/>
        <v>1</v>
      </c>
      <c r="AF44" s="31" t="str">
        <f t="shared" si="3"/>
        <v/>
      </c>
      <c r="AG44" s="31">
        <f t="shared" si="4"/>
        <v>1</v>
      </c>
      <c r="AH44" s="37">
        <f t="shared" ca="1" si="33"/>
        <v>32.69315068493151</v>
      </c>
      <c r="AI44" s="31" t="str">
        <f t="shared" si="6"/>
        <v/>
      </c>
      <c r="AJ44" s="31">
        <f t="shared" si="13"/>
        <v>1</v>
      </c>
      <c r="AK44" s="31" t="str">
        <f t="shared" si="14"/>
        <v/>
      </c>
      <c r="AL44" s="31" t="str">
        <f t="shared" si="15"/>
        <v/>
      </c>
      <c r="AM44" s="31" t="str">
        <f t="shared" si="16"/>
        <v/>
      </c>
      <c r="AN44" s="31" t="str">
        <f t="shared" si="17"/>
        <v/>
      </c>
      <c r="AO44" s="31" t="str">
        <f t="shared" si="18"/>
        <v/>
      </c>
      <c r="AP44" s="31" t="str">
        <f t="shared" si="19"/>
        <v/>
      </c>
      <c r="AQ44" s="31">
        <f t="shared" si="20"/>
        <v>1</v>
      </c>
      <c r="AR44" s="37">
        <f t="shared" ca="1" si="34"/>
        <v>32.69315068493151</v>
      </c>
      <c r="AS44" s="37" t="str">
        <f t="shared" si="22"/>
        <v/>
      </c>
      <c r="AT44" s="31">
        <f t="shared" si="23"/>
        <v>1</v>
      </c>
      <c r="AU44" s="31" t="str">
        <f t="shared" si="24"/>
        <v/>
      </c>
      <c r="AV44" s="31" t="str">
        <f t="shared" si="25"/>
        <v/>
      </c>
      <c r="AW44" s="31" t="str">
        <f t="shared" si="26"/>
        <v/>
      </c>
      <c r="AX44" s="31" t="str">
        <f t="shared" si="27"/>
        <v/>
      </c>
      <c r="AY44" s="31" t="str">
        <f t="shared" si="28"/>
        <v/>
      </c>
      <c r="AZ44" s="31" t="str">
        <f t="shared" si="29"/>
        <v/>
      </c>
      <c r="BA44" s="31">
        <f t="shared" si="30"/>
        <v>1</v>
      </c>
      <c r="BB44" s="31" t="str">
        <f t="shared" ca="1" si="35"/>
        <v/>
      </c>
      <c r="BC44" s="31" t="str">
        <f t="shared" ca="1" si="36"/>
        <v/>
      </c>
      <c r="BD44" s="31" t="str">
        <f t="shared" ca="1" si="37"/>
        <v/>
      </c>
      <c r="BE44" s="31" t="str">
        <f t="shared" ca="1" si="38"/>
        <v/>
      </c>
    </row>
    <row r="45" spans="1:57" x14ac:dyDescent="0.3">
      <c r="A45" s="25">
        <v>38</v>
      </c>
      <c r="B45" s="60" t="s">
        <v>222</v>
      </c>
      <c r="C45" s="27">
        <v>41440</v>
      </c>
      <c r="D45" s="32"/>
      <c r="E45" s="28" t="str">
        <f t="shared" si="11"/>
        <v>Oui</v>
      </c>
      <c r="F45" s="29" t="s">
        <v>223</v>
      </c>
      <c r="G45" s="30" t="s">
        <v>224</v>
      </c>
      <c r="H45" s="31" t="s">
        <v>63</v>
      </c>
      <c r="I45" s="32" t="s">
        <v>84</v>
      </c>
      <c r="J45" s="32" t="s">
        <v>225</v>
      </c>
      <c r="K45" s="27">
        <v>23917</v>
      </c>
      <c r="L45" s="74">
        <f t="shared" ca="1" si="12"/>
        <v>20950</v>
      </c>
      <c r="M45" s="32" t="s">
        <v>66</v>
      </c>
      <c r="N45" s="32" t="s">
        <v>67</v>
      </c>
      <c r="O45" s="32" t="s">
        <v>68</v>
      </c>
      <c r="P45" s="32">
        <v>1</v>
      </c>
      <c r="Q45" s="32" t="s">
        <v>77</v>
      </c>
      <c r="R45" s="32">
        <v>5</v>
      </c>
      <c r="S45" s="33">
        <v>1856</v>
      </c>
      <c r="T45" s="34" t="s">
        <v>303</v>
      </c>
      <c r="U45" s="34" t="s">
        <v>149</v>
      </c>
      <c r="V45" s="35"/>
      <c r="W45" s="35"/>
      <c r="X45" s="34" t="s">
        <v>226</v>
      </c>
      <c r="Y45" s="34"/>
      <c r="Z45" s="34">
        <v>10</v>
      </c>
      <c r="AA45" s="32"/>
      <c r="AB45" s="36"/>
      <c r="AC45" s="31">
        <f t="shared" ca="1" si="0"/>
        <v>3427</v>
      </c>
      <c r="AD45" s="31">
        <f t="shared" si="1"/>
        <v>1</v>
      </c>
      <c r="AE45" s="31">
        <f t="shared" si="2"/>
        <v>1</v>
      </c>
      <c r="AF45" s="31" t="str">
        <f t="shared" si="3"/>
        <v/>
      </c>
      <c r="AG45" s="31">
        <f t="shared" si="4"/>
        <v>1</v>
      </c>
      <c r="AH45" s="37">
        <f t="shared" ca="1" si="33"/>
        <v>57.397260273972606</v>
      </c>
      <c r="AI45" s="31" t="str">
        <f t="shared" si="6"/>
        <v/>
      </c>
      <c r="AJ45" s="31">
        <f t="shared" si="13"/>
        <v>1</v>
      </c>
      <c r="AK45" s="31" t="str">
        <f t="shared" si="14"/>
        <v/>
      </c>
      <c r="AL45" s="31" t="str">
        <f t="shared" si="15"/>
        <v/>
      </c>
      <c r="AM45" s="31" t="str">
        <f t="shared" si="16"/>
        <v/>
      </c>
      <c r="AN45" s="31" t="str">
        <f t="shared" si="17"/>
        <v/>
      </c>
      <c r="AO45" s="31" t="str">
        <f t="shared" si="18"/>
        <v/>
      </c>
      <c r="AP45" s="31" t="str">
        <f t="shared" si="19"/>
        <v/>
      </c>
      <c r="AQ45" s="31">
        <f t="shared" si="20"/>
        <v>1</v>
      </c>
      <c r="AR45" s="37">
        <f t="shared" ca="1" si="34"/>
        <v>57.397260273972606</v>
      </c>
      <c r="AS45" s="37" t="str">
        <f t="shared" si="22"/>
        <v/>
      </c>
      <c r="AT45" s="31">
        <f t="shared" si="23"/>
        <v>1</v>
      </c>
      <c r="AU45" s="31" t="str">
        <f t="shared" si="24"/>
        <v/>
      </c>
      <c r="AV45" s="31" t="str">
        <f t="shared" si="25"/>
        <v/>
      </c>
      <c r="AW45" s="31" t="str">
        <f t="shared" si="26"/>
        <v/>
      </c>
      <c r="AX45" s="31" t="str">
        <f t="shared" si="27"/>
        <v/>
      </c>
      <c r="AY45" s="31" t="str">
        <f t="shared" si="28"/>
        <v/>
      </c>
      <c r="AZ45" s="31" t="str">
        <f t="shared" si="29"/>
        <v/>
      </c>
      <c r="BA45" s="31">
        <f t="shared" si="30"/>
        <v>1</v>
      </c>
      <c r="BB45" s="31" t="str">
        <f t="shared" ca="1" si="35"/>
        <v/>
      </c>
      <c r="BC45" s="31" t="str">
        <f t="shared" ca="1" si="36"/>
        <v/>
      </c>
      <c r="BD45" s="31" t="str">
        <f t="shared" ca="1" si="37"/>
        <v/>
      </c>
      <c r="BE45" s="31" t="str">
        <f t="shared" ca="1" si="38"/>
        <v/>
      </c>
    </row>
    <row r="46" spans="1:57" x14ac:dyDescent="0.3">
      <c r="A46" s="25">
        <v>39</v>
      </c>
      <c r="B46" s="60" t="s">
        <v>227</v>
      </c>
      <c r="C46" s="27">
        <v>42269</v>
      </c>
      <c r="D46" s="32"/>
      <c r="E46" s="28" t="str">
        <f t="shared" si="11"/>
        <v>Oui</v>
      </c>
      <c r="F46" s="29" t="s">
        <v>228</v>
      </c>
      <c r="G46" s="30" t="s">
        <v>229</v>
      </c>
      <c r="H46" s="31" t="s">
        <v>63</v>
      </c>
      <c r="I46" s="32" t="s">
        <v>84</v>
      </c>
      <c r="J46" s="32" t="s">
        <v>230</v>
      </c>
      <c r="K46" s="27">
        <v>28828</v>
      </c>
      <c r="L46" s="74">
        <f t="shared" ca="1" si="12"/>
        <v>16039</v>
      </c>
      <c r="M46" s="32" t="s">
        <v>66</v>
      </c>
      <c r="N46" s="32" t="s">
        <v>67</v>
      </c>
      <c r="O46" s="32" t="s">
        <v>68</v>
      </c>
      <c r="P46" s="32">
        <v>1</v>
      </c>
      <c r="Q46" s="32" t="s">
        <v>77</v>
      </c>
      <c r="R46" s="32">
        <v>3</v>
      </c>
      <c r="S46" s="33">
        <v>3789</v>
      </c>
      <c r="T46" s="34" t="s">
        <v>93</v>
      </c>
      <c r="U46" s="34" t="s">
        <v>100</v>
      </c>
      <c r="V46" s="35">
        <v>1850948</v>
      </c>
      <c r="W46" s="35">
        <v>1945623</v>
      </c>
      <c r="X46" s="34"/>
      <c r="Y46" s="34"/>
      <c r="Z46" s="34"/>
      <c r="AA46" s="32"/>
      <c r="AB46" s="36"/>
      <c r="AC46" s="31">
        <f t="shared" ca="1" si="0"/>
        <v>2598</v>
      </c>
      <c r="AD46" s="31">
        <f t="shared" si="1"/>
        <v>1</v>
      </c>
      <c r="AE46" s="31">
        <f t="shared" si="2"/>
        <v>1</v>
      </c>
      <c r="AF46" s="31" t="str">
        <f t="shared" si="3"/>
        <v/>
      </c>
      <c r="AG46" s="31">
        <f t="shared" si="4"/>
        <v>1</v>
      </c>
      <c r="AH46" s="37">
        <f t="shared" ca="1" si="33"/>
        <v>43.942465753424656</v>
      </c>
      <c r="AI46" s="31" t="str">
        <f t="shared" si="6"/>
        <v/>
      </c>
      <c r="AJ46" s="31">
        <f t="shared" si="13"/>
        <v>1</v>
      </c>
      <c r="AK46" s="31" t="str">
        <f t="shared" si="14"/>
        <v/>
      </c>
      <c r="AL46" s="31" t="str">
        <f t="shared" si="15"/>
        <v/>
      </c>
      <c r="AM46" s="31" t="str">
        <f t="shared" si="16"/>
        <v/>
      </c>
      <c r="AN46" s="31" t="str">
        <f t="shared" si="17"/>
        <v/>
      </c>
      <c r="AO46" s="31" t="str">
        <f t="shared" si="18"/>
        <v/>
      </c>
      <c r="AP46" s="31" t="str">
        <f t="shared" si="19"/>
        <v/>
      </c>
      <c r="AQ46" s="31">
        <f t="shared" si="20"/>
        <v>1</v>
      </c>
      <c r="AR46" s="37">
        <f t="shared" ca="1" si="34"/>
        <v>43.942465753424656</v>
      </c>
      <c r="AS46" s="37" t="str">
        <f t="shared" si="22"/>
        <v/>
      </c>
      <c r="AT46" s="31">
        <f t="shared" si="23"/>
        <v>1</v>
      </c>
      <c r="AU46" s="31" t="str">
        <f t="shared" si="24"/>
        <v/>
      </c>
      <c r="AV46" s="31" t="str">
        <f t="shared" si="25"/>
        <v/>
      </c>
      <c r="AW46" s="31" t="str">
        <f t="shared" si="26"/>
        <v/>
      </c>
      <c r="AX46" s="31" t="str">
        <f t="shared" si="27"/>
        <v/>
      </c>
      <c r="AY46" s="31" t="str">
        <f t="shared" si="28"/>
        <v/>
      </c>
      <c r="AZ46" s="31" t="str">
        <f t="shared" si="29"/>
        <v/>
      </c>
      <c r="BA46" s="31">
        <f t="shared" si="30"/>
        <v>1</v>
      </c>
      <c r="BB46" s="31" t="str">
        <f t="shared" ca="1" si="35"/>
        <v/>
      </c>
      <c r="BC46" s="31" t="str">
        <f t="shared" ca="1" si="36"/>
        <v/>
      </c>
      <c r="BD46" s="31" t="str">
        <f t="shared" ca="1" si="37"/>
        <v/>
      </c>
      <c r="BE46" s="31" t="str">
        <f t="shared" ca="1" si="38"/>
        <v/>
      </c>
    </row>
    <row r="47" spans="1:57" x14ac:dyDescent="0.3">
      <c r="A47" s="25">
        <v>40</v>
      </c>
      <c r="B47" s="60" t="s">
        <v>231</v>
      </c>
      <c r="C47" s="27">
        <v>41102</v>
      </c>
      <c r="D47" s="32"/>
      <c r="E47" s="28" t="str">
        <f t="shared" si="11"/>
        <v>Oui</v>
      </c>
      <c r="F47" s="29" t="s">
        <v>232</v>
      </c>
      <c r="G47" s="30" t="s">
        <v>233</v>
      </c>
      <c r="H47" s="31" t="s">
        <v>63</v>
      </c>
      <c r="I47" s="32" t="s">
        <v>64</v>
      </c>
      <c r="J47" s="32" t="s">
        <v>234</v>
      </c>
      <c r="K47" s="27">
        <v>28031</v>
      </c>
      <c r="L47" s="74">
        <f t="shared" ca="1" si="12"/>
        <v>16836</v>
      </c>
      <c r="M47" s="32" t="s">
        <v>66</v>
      </c>
      <c r="N47" s="32" t="s">
        <v>67</v>
      </c>
      <c r="O47" s="32" t="s">
        <v>68</v>
      </c>
      <c r="P47" s="32">
        <v>1</v>
      </c>
      <c r="Q47" s="32" t="s">
        <v>77</v>
      </c>
      <c r="R47" s="32">
        <v>4</v>
      </c>
      <c r="S47" s="33">
        <v>2045</v>
      </c>
      <c r="T47" s="34" t="s">
        <v>303</v>
      </c>
      <c r="U47" s="34" t="s">
        <v>149</v>
      </c>
      <c r="V47" s="35"/>
      <c r="W47" s="35"/>
      <c r="X47" s="34"/>
      <c r="Y47" s="34"/>
      <c r="Z47" s="34"/>
      <c r="AA47" s="32"/>
      <c r="AB47" s="36"/>
      <c r="AC47" s="31">
        <f t="shared" ca="1" si="0"/>
        <v>3765</v>
      </c>
      <c r="AD47" s="31">
        <f t="shared" si="1"/>
        <v>1</v>
      </c>
      <c r="AE47" s="31" t="str">
        <f t="shared" si="2"/>
        <v/>
      </c>
      <c r="AF47" s="31">
        <f t="shared" si="3"/>
        <v>1</v>
      </c>
      <c r="AG47" s="31">
        <f t="shared" si="4"/>
        <v>1</v>
      </c>
      <c r="AH47" s="37">
        <f t="shared" ca="1" si="33"/>
        <v>46.126027397260273</v>
      </c>
      <c r="AI47" s="31" t="str">
        <f t="shared" si="6"/>
        <v/>
      </c>
      <c r="AJ47" s="31">
        <f t="shared" si="13"/>
        <v>1</v>
      </c>
      <c r="AK47" s="31" t="str">
        <f t="shared" si="14"/>
        <v/>
      </c>
      <c r="AL47" s="31" t="str">
        <f t="shared" si="15"/>
        <v/>
      </c>
      <c r="AM47" s="31" t="str">
        <f t="shared" si="16"/>
        <v/>
      </c>
      <c r="AN47" s="31" t="str">
        <f t="shared" si="17"/>
        <v/>
      </c>
      <c r="AO47" s="31" t="str">
        <f t="shared" si="18"/>
        <v/>
      </c>
      <c r="AP47" s="31" t="str">
        <f t="shared" si="19"/>
        <v/>
      </c>
      <c r="AQ47" s="31">
        <f t="shared" si="20"/>
        <v>1</v>
      </c>
      <c r="AR47" s="37" t="str">
        <f t="shared" si="34"/>
        <v/>
      </c>
      <c r="AS47" s="37">
        <f t="shared" ca="1" si="22"/>
        <v>46.126027397260273</v>
      </c>
      <c r="AT47" s="31" t="str">
        <f t="shared" si="23"/>
        <v/>
      </c>
      <c r="AU47" s="31" t="str">
        <f t="shared" si="24"/>
        <v/>
      </c>
      <c r="AV47" s="31" t="str">
        <f t="shared" si="25"/>
        <v/>
      </c>
      <c r="AW47" s="31" t="str">
        <f t="shared" si="26"/>
        <v/>
      </c>
      <c r="AX47" s="31" t="str">
        <f t="shared" si="27"/>
        <v/>
      </c>
      <c r="AY47" s="31" t="str">
        <f t="shared" si="28"/>
        <v/>
      </c>
      <c r="AZ47" s="31" t="str">
        <f t="shared" si="29"/>
        <v/>
      </c>
      <c r="BA47" s="31" t="str">
        <f t="shared" si="30"/>
        <v/>
      </c>
      <c r="BB47" s="31" t="str">
        <f t="shared" ca="1" si="35"/>
        <v/>
      </c>
      <c r="BC47" s="31" t="str">
        <f t="shared" ca="1" si="36"/>
        <v/>
      </c>
      <c r="BD47" s="31" t="str">
        <f t="shared" ca="1" si="37"/>
        <v/>
      </c>
      <c r="BE47" s="31" t="str">
        <f t="shared" ca="1" si="38"/>
        <v/>
      </c>
    </row>
    <row r="48" spans="1:57" x14ac:dyDescent="0.3">
      <c r="A48" s="25">
        <v>41</v>
      </c>
      <c r="B48" s="60" t="s">
        <v>235</v>
      </c>
      <c r="C48" s="27">
        <v>41102</v>
      </c>
      <c r="D48" s="32"/>
      <c r="E48" s="28" t="str">
        <f t="shared" si="11"/>
        <v>Oui</v>
      </c>
      <c r="F48" s="29" t="s">
        <v>236</v>
      </c>
      <c r="G48" s="30" t="s">
        <v>237</v>
      </c>
      <c r="H48" s="31" t="s">
        <v>63</v>
      </c>
      <c r="I48" s="32" t="s">
        <v>64</v>
      </c>
      <c r="J48" s="32" t="s">
        <v>238</v>
      </c>
      <c r="K48" s="27">
        <v>21949</v>
      </c>
      <c r="L48" s="74">
        <f t="shared" ca="1" si="12"/>
        <v>22918</v>
      </c>
      <c r="M48" s="32" t="s">
        <v>66</v>
      </c>
      <c r="N48" s="32" t="s">
        <v>67</v>
      </c>
      <c r="O48" s="32" t="s">
        <v>68</v>
      </c>
      <c r="P48" s="32">
        <v>1</v>
      </c>
      <c r="Q48" s="32" t="s">
        <v>92</v>
      </c>
      <c r="R48" s="32">
        <v>3</v>
      </c>
      <c r="S48" s="33">
        <v>3198</v>
      </c>
      <c r="T48" s="34" t="s">
        <v>70</v>
      </c>
      <c r="U48" s="34" t="s">
        <v>126</v>
      </c>
      <c r="V48" s="35"/>
      <c r="W48" s="35"/>
      <c r="X48" s="34"/>
      <c r="Y48" s="34"/>
      <c r="Z48" s="34"/>
      <c r="AA48" s="32"/>
      <c r="AB48" s="36"/>
      <c r="AC48" s="31">
        <f t="shared" ca="1" si="0"/>
        <v>3765</v>
      </c>
      <c r="AD48" s="31">
        <f t="shared" si="1"/>
        <v>1</v>
      </c>
      <c r="AE48" s="31" t="str">
        <f t="shared" si="2"/>
        <v/>
      </c>
      <c r="AF48" s="31">
        <f t="shared" si="3"/>
        <v>1</v>
      </c>
      <c r="AG48" s="31">
        <f t="shared" si="4"/>
        <v>1</v>
      </c>
      <c r="AH48" s="37">
        <f t="shared" ca="1" si="33"/>
        <v>62.789041095890411</v>
      </c>
      <c r="AI48" s="31" t="str">
        <f t="shared" si="6"/>
        <v/>
      </c>
      <c r="AJ48" s="31">
        <f t="shared" si="13"/>
        <v>1</v>
      </c>
      <c r="AK48" s="31" t="str">
        <f t="shared" si="14"/>
        <v/>
      </c>
      <c r="AL48" s="31" t="str">
        <f t="shared" si="15"/>
        <v/>
      </c>
      <c r="AM48" s="31" t="str">
        <f t="shared" si="16"/>
        <v/>
      </c>
      <c r="AN48" s="31" t="str">
        <f t="shared" si="17"/>
        <v/>
      </c>
      <c r="AO48" s="31" t="str">
        <f t="shared" si="18"/>
        <v/>
      </c>
      <c r="AP48" s="31">
        <f t="shared" si="19"/>
        <v>1</v>
      </c>
      <c r="AQ48" s="31" t="str">
        <f t="shared" si="20"/>
        <v/>
      </c>
      <c r="AR48" s="37" t="str">
        <f t="shared" si="34"/>
        <v/>
      </c>
      <c r="AS48" s="37">
        <f t="shared" ca="1" si="22"/>
        <v>62.789041095890411</v>
      </c>
      <c r="AT48" s="31" t="str">
        <f t="shared" si="23"/>
        <v/>
      </c>
      <c r="AU48" s="31" t="str">
        <f t="shared" si="24"/>
        <v/>
      </c>
      <c r="AV48" s="31" t="str">
        <f t="shared" si="25"/>
        <v/>
      </c>
      <c r="AW48" s="31" t="str">
        <f t="shared" si="26"/>
        <v/>
      </c>
      <c r="AX48" s="31" t="str">
        <f t="shared" si="27"/>
        <v/>
      </c>
      <c r="AY48" s="31" t="str">
        <f t="shared" si="28"/>
        <v/>
      </c>
      <c r="AZ48" s="31" t="str">
        <f t="shared" si="29"/>
        <v/>
      </c>
      <c r="BA48" s="31" t="str">
        <f t="shared" si="30"/>
        <v/>
      </c>
      <c r="BB48" s="31" t="str">
        <f t="shared" ca="1" si="35"/>
        <v/>
      </c>
      <c r="BC48" s="31" t="str">
        <f t="shared" ca="1" si="36"/>
        <v/>
      </c>
      <c r="BD48" s="31" t="str">
        <f t="shared" ca="1" si="37"/>
        <v/>
      </c>
      <c r="BE48" s="31" t="str">
        <f t="shared" ca="1" si="38"/>
        <v/>
      </c>
    </row>
    <row r="49" spans="1:57" x14ac:dyDescent="0.3">
      <c r="A49" s="25">
        <v>42</v>
      </c>
      <c r="B49" s="62" t="s">
        <v>239</v>
      </c>
      <c r="C49" s="50">
        <v>41104</v>
      </c>
      <c r="D49" s="50">
        <v>44392</v>
      </c>
      <c r="E49" s="51" t="str">
        <f t="shared" si="11"/>
        <v>Non</v>
      </c>
      <c r="F49" s="52" t="s">
        <v>240</v>
      </c>
      <c r="G49" s="53" t="s">
        <v>241</v>
      </c>
      <c r="H49" s="53" t="s">
        <v>63</v>
      </c>
      <c r="I49" s="52" t="s">
        <v>64</v>
      </c>
      <c r="J49" s="52" t="s">
        <v>242</v>
      </c>
      <c r="K49" s="50">
        <v>36586</v>
      </c>
      <c r="L49" s="74"/>
      <c r="M49" s="52" t="s">
        <v>66</v>
      </c>
      <c r="N49" s="52" t="s">
        <v>99</v>
      </c>
      <c r="O49" s="52" t="s">
        <v>68</v>
      </c>
      <c r="P49" s="52">
        <v>1</v>
      </c>
      <c r="Q49" s="52" t="s">
        <v>77</v>
      </c>
      <c r="R49" s="52">
        <v>5</v>
      </c>
      <c r="S49" s="54">
        <v>1972</v>
      </c>
      <c r="T49" s="55" t="s">
        <v>303</v>
      </c>
      <c r="U49" s="55" t="s">
        <v>149</v>
      </c>
      <c r="V49" s="35"/>
      <c r="W49" s="35"/>
      <c r="X49" s="34"/>
      <c r="Y49" s="34"/>
      <c r="Z49" s="34"/>
      <c r="AA49" s="32" t="s">
        <v>243</v>
      </c>
      <c r="AB49" s="36"/>
      <c r="AC49" s="31">
        <f t="shared" si="0"/>
        <v>3288</v>
      </c>
      <c r="AD49" s="31" t="str">
        <f t="shared" si="1"/>
        <v/>
      </c>
      <c r="AE49" s="31" t="str">
        <f t="shared" si="2"/>
        <v/>
      </c>
      <c r="AF49" s="31" t="str">
        <f t="shared" si="3"/>
        <v/>
      </c>
      <c r="AG49" s="31" t="str">
        <f t="shared" si="4"/>
        <v/>
      </c>
      <c r="AH49" s="37" t="str">
        <f t="shared" si="33"/>
        <v/>
      </c>
      <c r="AI49" s="31" t="str">
        <f t="shared" si="6"/>
        <v/>
      </c>
      <c r="AJ49" s="31" t="str">
        <f t="shared" si="13"/>
        <v/>
      </c>
      <c r="AK49" s="31" t="str">
        <f t="shared" si="14"/>
        <v/>
      </c>
      <c r="AL49" s="31" t="str">
        <f t="shared" si="15"/>
        <v/>
      </c>
      <c r="AM49" s="31" t="str">
        <f t="shared" si="16"/>
        <v/>
      </c>
      <c r="AN49" s="31" t="str">
        <f t="shared" si="17"/>
        <v/>
      </c>
      <c r="AO49" s="31" t="str">
        <f t="shared" si="18"/>
        <v/>
      </c>
      <c r="AP49" s="31" t="str">
        <f t="shared" si="19"/>
        <v/>
      </c>
      <c r="AQ49" s="31" t="str">
        <f t="shared" si="20"/>
        <v/>
      </c>
      <c r="AR49" s="37" t="str">
        <f t="shared" si="34"/>
        <v/>
      </c>
      <c r="AS49" s="37" t="str">
        <f t="shared" si="22"/>
        <v/>
      </c>
      <c r="AT49" s="31" t="str">
        <f t="shared" si="23"/>
        <v/>
      </c>
      <c r="AU49" s="31" t="str">
        <f t="shared" si="24"/>
        <v/>
      </c>
      <c r="AV49" s="31" t="str">
        <f t="shared" si="25"/>
        <v/>
      </c>
      <c r="AW49" s="31" t="str">
        <f t="shared" si="26"/>
        <v/>
      </c>
      <c r="AX49" s="31" t="str">
        <f t="shared" si="27"/>
        <v/>
      </c>
      <c r="AY49" s="31" t="str">
        <f t="shared" si="28"/>
        <v/>
      </c>
      <c r="AZ49" s="31" t="str">
        <f t="shared" si="29"/>
        <v/>
      </c>
      <c r="BA49" s="31" t="str">
        <f t="shared" si="30"/>
        <v/>
      </c>
      <c r="BB49" s="31" t="str">
        <f t="shared" ca="1" si="35"/>
        <v/>
      </c>
      <c r="BC49" s="31">
        <f t="shared" ca="1" si="36"/>
        <v>1</v>
      </c>
      <c r="BD49" s="31" t="str">
        <f t="shared" ca="1" si="37"/>
        <v/>
      </c>
      <c r="BE49" s="31" t="str">
        <f t="shared" ca="1" si="38"/>
        <v/>
      </c>
    </row>
    <row r="50" spans="1:57" x14ac:dyDescent="0.3">
      <c r="A50" s="25">
        <v>43</v>
      </c>
      <c r="B50" s="60" t="s">
        <v>244</v>
      </c>
      <c r="C50" s="27">
        <v>42653</v>
      </c>
      <c r="D50" s="32"/>
      <c r="E50" s="28" t="str">
        <f t="shared" si="11"/>
        <v>Oui</v>
      </c>
      <c r="F50" s="29" t="s">
        <v>245</v>
      </c>
      <c r="G50" s="30" t="s">
        <v>246</v>
      </c>
      <c r="H50" s="31" t="s">
        <v>247</v>
      </c>
      <c r="I50" s="32" t="s">
        <v>64</v>
      </c>
      <c r="J50" s="32" t="s">
        <v>248</v>
      </c>
      <c r="K50" s="63">
        <v>31386</v>
      </c>
      <c r="L50" s="74">
        <f t="shared" ca="1" si="12"/>
        <v>13481</v>
      </c>
      <c r="M50" s="32" t="s">
        <v>66</v>
      </c>
      <c r="N50" s="32" t="s">
        <v>67</v>
      </c>
      <c r="O50" s="32" t="s">
        <v>68</v>
      </c>
      <c r="P50" s="32">
        <v>1</v>
      </c>
      <c r="Q50" s="32" t="s">
        <v>77</v>
      </c>
      <c r="R50" s="32">
        <v>3</v>
      </c>
      <c r="S50" s="33">
        <v>3897</v>
      </c>
      <c r="T50" s="34" t="s">
        <v>93</v>
      </c>
      <c r="U50" s="34" t="s">
        <v>100</v>
      </c>
      <c r="V50" s="35">
        <v>2284456</v>
      </c>
      <c r="W50" s="35">
        <v>2089245</v>
      </c>
      <c r="X50" s="34"/>
      <c r="Y50" s="34"/>
      <c r="Z50" s="34"/>
      <c r="AA50" s="32"/>
      <c r="AB50" s="36"/>
      <c r="AC50" s="31">
        <f t="shared" ca="1" si="0"/>
        <v>2214</v>
      </c>
      <c r="AD50" s="31">
        <f t="shared" si="1"/>
        <v>1</v>
      </c>
      <c r="AE50" s="31" t="str">
        <f t="shared" si="2"/>
        <v/>
      </c>
      <c r="AF50" s="31">
        <f t="shared" si="3"/>
        <v>1</v>
      </c>
      <c r="AG50" s="31">
        <f t="shared" si="4"/>
        <v>1</v>
      </c>
      <c r="AH50" s="37">
        <f t="shared" ca="1" si="33"/>
        <v>36.934246575342463</v>
      </c>
      <c r="AI50" s="31" t="str">
        <f t="shared" si="6"/>
        <v/>
      </c>
      <c r="AJ50" s="31">
        <f t="shared" si="13"/>
        <v>1</v>
      </c>
      <c r="AK50" s="31" t="str">
        <f t="shared" si="14"/>
        <v/>
      </c>
      <c r="AL50" s="31" t="str">
        <f t="shared" si="15"/>
        <v/>
      </c>
      <c r="AM50" s="31" t="str">
        <f t="shared" si="16"/>
        <v/>
      </c>
      <c r="AN50" s="31" t="str">
        <f t="shared" si="17"/>
        <v/>
      </c>
      <c r="AO50" s="31" t="str">
        <f t="shared" si="18"/>
        <v/>
      </c>
      <c r="AP50" s="31" t="str">
        <f t="shared" si="19"/>
        <v/>
      </c>
      <c r="AQ50" s="31">
        <f t="shared" si="20"/>
        <v>1</v>
      </c>
      <c r="AR50" s="37" t="str">
        <f t="shared" si="34"/>
        <v/>
      </c>
      <c r="AS50" s="37">
        <f t="shared" ca="1" si="22"/>
        <v>36.934246575342463</v>
      </c>
      <c r="AT50" s="31" t="str">
        <f t="shared" si="23"/>
        <v/>
      </c>
      <c r="AU50" s="31" t="str">
        <f t="shared" si="24"/>
        <v/>
      </c>
      <c r="AV50" s="31" t="str">
        <f t="shared" si="25"/>
        <v/>
      </c>
      <c r="AW50" s="31" t="str">
        <f t="shared" si="26"/>
        <v/>
      </c>
      <c r="AX50" s="31" t="str">
        <f t="shared" si="27"/>
        <v/>
      </c>
      <c r="AY50" s="31" t="str">
        <f t="shared" si="28"/>
        <v/>
      </c>
      <c r="AZ50" s="31" t="str">
        <f t="shared" si="29"/>
        <v/>
      </c>
      <c r="BA50" s="31" t="str">
        <f t="shared" si="30"/>
        <v/>
      </c>
      <c r="BB50" s="31" t="str">
        <f t="shared" ca="1" si="35"/>
        <v/>
      </c>
      <c r="BC50" s="31" t="str">
        <f t="shared" ca="1" si="36"/>
        <v/>
      </c>
      <c r="BD50" s="31" t="str">
        <f t="shared" ca="1" si="37"/>
        <v/>
      </c>
      <c r="BE50" s="31" t="str">
        <f t="shared" ca="1" si="38"/>
        <v/>
      </c>
    </row>
    <row r="51" spans="1:57" x14ac:dyDescent="0.3">
      <c r="A51" s="25">
        <v>44</v>
      </c>
      <c r="B51" s="60" t="s">
        <v>249</v>
      </c>
      <c r="C51" s="27">
        <v>43865</v>
      </c>
      <c r="D51" s="32"/>
      <c r="E51" s="28" t="str">
        <f t="shared" si="11"/>
        <v>Oui</v>
      </c>
      <c r="F51" s="29" t="s">
        <v>250</v>
      </c>
      <c r="G51" s="30" t="s">
        <v>251</v>
      </c>
      <c r="H51" s="31" t="s">
        <v>63</v>
      </c>
      <c r="I51" s="32" t="s">
        <v>84</v>
      </c>
      <c r="J51" s="32" t="s">
        <v>207</v>
      </c>
      <c r="K51" s="27">
        <v>35983</v>
      </c>
      <c r="L51" s="74">
        <f t="shared" ca="1" si="12"/>
        <v>8884</v>
      </c>
      <c r="M51" s="32" t="s">
        <v>66</v>
      </c>
      <c r="N51" s="32" t="s">
        <v>67</v>
      </c>
      <c r="O51" s="32" t="s">
        <v>68</v>
      </c>
      <c r="P51" s="32">
        <v>1</v>
      </c>
      <c r="Q51" s="32" t="s">
        <v>77</v>
      </c>
      <c r="R51" s="32">
        <v>4</v>
      </c>
      <c r="S51" s="33">
        <v>2030</v>
      </c>
      <c r="T51" s="34" t="s">
        <v>303</v>
      </c>
      <c r="U51" s="34" t="s">
        <v>149</v>
      </c>
      <c r="V51" s="35"/>
      <c r="W51" s="35"/>
      <c r="X51" s="34"/>
      <c r="Y51" s="34"/>
      <c r="Z51" s="34"/>
      <c r="AA51" s="32"/>
      <c r="AB51" s="36" t="s">
        <v>252</v>
      </c>
      <c r="AC51" s="31">
        <f t="shared" ca="1" si="0"/>
        <v>1002</v>
      </c>
      <c r="AD51" s="31">
        <f t="shared" si="1"/>
        <v>1</v>
      </c>
      <c r="AE51" s="31">
        <f t="shared" si="2"/>
        <v>1</v>
      </c>
      <c r="AF51" s="31" t="str">
        <f t="shared" si="3"/>
        <v/>
      </c>
      <c r="AG51" s="31">
        <f t="shared" si="4"/>
        <v>1</v>
      </c>
      <c r="AH51" s="37">
        <f t="shared" ca="1" si="33"/>
        <v>24.339726027397262</v>
      </c>
      <c r="AI51" s="31" t="str">
        <f t="shared" si="6"/>
        <v/>
      </c>
      <c r="AJ51" s="31">
        <f t="shared" si="13"/>
        <v>1</v>
      </c>
      <c r="AK51" s="31" t="str">
        <f t="shared" si="14"/>
        <v/>
      </c>
      <c r="AL51" s="31" t="str">
        <f t="shared" si="15"/>
        <v/>
      </c>
      <c r="AM51" s="31" t="str">
        <f t="shared" si="16"/>
        <v/>
      </c>
      <c r="AN51" s="31" t="str">
        <f t="shared" si="17"/>
        <v/>
      </c>
      <c r="AO51" s="31" t="str">
        <f t="shared" si="18"/>
        <v/>
      </c>
      <c r="AP51" s="31" t="str">
        <f t="shared" si="19"/>
        <v/>
      </c>
      <c r="AQ51" s="31">
        <f t="shared" si="20"/>
        <v>1</v>
      </c>
      <c r="AR51" s="37">
        <f t="shared" ca="1" si="34"/>
        <v>24.339726027397262</v>
      </c>
      <c r="AS51" s="37" t="str">
        <f t="shared" si="22"/>
        <v/>
      </c>
      <c r="AT51" s="31">
        <f t="shared" si="23"/>
        <v>1</v>
      </c>
      <c r="AU51" s="31" t="str">
        <f t="shared" si="24"/>
        <v/>
      </c>
      <c r="AV51" s="31" t="str">
        <f t="shared" si="25"/>
        <v/>
      </c>
      <c r="AW51" s="31" t="str">
        <f t="shared" si="26"/>
        <v/>
      </c>
      <c r="AX51" s="31" t="str">
        <f t="shared" si="27"/>
        <v/>
      </c>
      <c r="AY51" s="31" t="str">
        <f t="shared" si="28"/>
        <v/>
      </c>
      <c r="AZ51" s="31" t="str">
        <f t="shared" si="29"/>
        <v/>
      </c>
      <c r="BA51" s="31">
        <f t="shared" si="30"/>
        <v>1</v>
      </c>
      <c r="BB51" s="31" t="str">
        <f t="shared" ca="1" si="35"/>
        <v/>
      </c>
      <c r="BC51" s="31" t="str">
        <f t="shared" ca="1" si="36"/>
        <v/>
      </c>
      <c r="BD51" s="31" t="str">
        <f t="shared" ca="1" si="37"/>
        <v/>
      </c>
      <c r="BE51" s="31" t="str">
        <f t="shared" ca="1" si="38"/>
        <v/>
      </c>
    </row>
    <row r="52" spans="1:57" x14ac:dyDescent="0.3">
      <c r="A52" s="25">
        <v>45</v>
      </c>
      <c r="B52" s="60" t="s">
        <v>253</v>
      </c>
      <c r="C52" s="27">
        <v>41102</v>
      </c>
      <c r="D52" s="32"/>
      <c r="E52" s="28" t="str">
        <f t="shared" si="11"/>
        <v>Oui</v>
      </c>
      <c r="F52" s="29" t="s">
        <v>254</v>
      </c>
      <c r="G52" s="30" t="s">
        <v>255</v>
      </c>
      <c r="H52" s="31" t="s">
        <v>63</v>
      </c>
      <c r="I52" s="32" t="s">
        <v>84</v>
      </c>
      <c r="J52" s="32" t="s">
        <v>256</v>
      </c>
      <c r="K52" s="27">
        <v>28556</v>
      </c>
      <c r="L52" s="74">
        <f t="shared" ca="1" si="12"/>
        <v>16311</v>
      </c>
      <c r="M52" s="32" t="s">
        <v>114</v>
      </c>
      <c r="N52" s="32" t="s">
        <v>67</v>
      </c>
      <c r="O52" s="32" t="s">
        <v>68</v>
      </c>
      <c r="P52" s="32">
        <v>1</v>
      </c>
      <c r="Q52" s="32" t="s">
        <v>69</v>
      </c>
      <c r="R52" s="32">
        <v>4</v>
      </c>
      <c r="S52" s="33">
        <v>3824</v>
      </c>
      <c r="T52" s="34" t="s">
        <v>93</v>
      </c>
      <c r="U52" s="34" t="s">
        <v>100</v>
      </c>
      <c r="V52" s="35">
        <v>2780246</v>
      </c>
      <c r="W52" s="35">
        <v>2578123</v>
      </c>
      <c r="X52" s="34"/>
      <c r="Y52" s="34"/>
      <c r="Z52" s="34"/>
      <c r="AA52" s="32"/>
      <c r="AB52" s="36"/>
      <c r="AC52" s="31">
        <f t="shared" ca="1" si="0"/>
        <v>3765</v>
      </c>
      <c r="AD52" s="31">
        <f t="shared" si="1"/>
        <v>1</v>
      </c>
      <c r="AE52" s="31">
        <f t="shared" si="2"/>
        <v>1</v>
      </c>
      <c r="AF52" s="31" t="str">
        <f t="shared" si="3"/>
        <v/>
      </c>
      <c r="AG52" s="31">
        <f t="shared" si="4"/>
        <v>1</v>
      </c>
      <c r="AH52" s="37">
        <f t="shared" ca="1" si="33"/>
        <v>44.68767123287671</v>
      </c>
      <c r="AI52" s="31">
        <f t="shared" si="6"/>
        <v>1</v>
      </c>
      <c r="AJ52" s="31">
        <f t="shared" si="13"/>
        <v>1</v>
      </c>
      <c r="AK52" s="31" t="str">
        <f t="shared" si="14"/>
        <v/>
      </c>
      <c r="AL52" s="31" t="str">
        <f t="shared" si="15"/>
        <v/>
      </c>
      <c r="AM52" s="31" t="str">
        <f t="shared" si="16"/>
        <v/>
      </c>
      <c r="AN52" s="31" t="str">
        <f t="shared" si="17"/>
        <v/>
      </c>
      <c r="AO52" s="31">
        <f t="shared" si="18"/>
        <v>1</v>
      </c>
      <c r="AP52" s="31" t="str">
        <f t="shared" si="19"/>
        <v/>
      </c>
      <c r="AQ52" s="31" t="str">
        <f t="shared" si="20"/>
        <v/>
      </c>
      <c r="AR52" s="37">
        <f t="shared" ca="1" si="34"/>
        <v>44.68767123287671</v>
      </c>
      <c r="AS52" s="37" t="str">
        <f t="shared" si="22"/>
        <v/>
      </c>
      <c r="AT52" s="31">
        <f t="shared" si="23"/>
        <v>1</v>
      </c>
      <c r="AU52" s="31" t="str">
        <f t="shared" si="24"/>
        <v/>
      </c>
      <c r="AV52" s="31" t="str">
        <f t="shared" si="25"/>
        <v/>
      </c>
      <c r="AW52" s="31" t="str">
        <f t="shared" si="26"/>
        <v/>
      </c>
      <c r="AX52" s="31" t="str">
        <f t="shared" si="27"/>
        <v/>
      </c>
      <c r="AY52" s="31">
        <f t="shared" si="28"/>
        <v>1</v>
      </c>
      <c r="AZ52" s="31" t="str">
        <f t="shared" si="29"/>
        <v/>
      </c>
      <c r="BA52" s="31" t="str">
        <f t="shared" si="30"/>
        <v/>
      </c>
      <c r="BB52" s="31" t="str">
        <f t="shared" ca="1" si="35"/>
        <v/>
      </c>
      <c r="BC52" s="31" t="str">
        <f t="shared" ca="1" si="36"/>
        <v/>
      </c>
      <c r="BD52" s="31" t="str">
        <f t="shared" ca="1" si="37"/>
        <v/>
      </c>
      <c r="BE52" s="31" t="str">
        <f t="shared" ca="1" si="38"/>
        <v/>
      </c>
    </row>
    <row r="53" spans="1:57" x14ac:dyDescent="0.3">
      <c r="A53" s="25">
        <v>46</v>
      </c>
      <c r="B53" s="60" t="s">
        <v>257</v>
      </c>
      <c r="C53" s="27">
        <v>41697</v>
      </c>
      <c r="D53" s="32"/>
      <c r="E53" s="28" t="str">
        <f t="shared" si="11"/>
        <v>Oui</v>
      </c>
      <c r="F53" s="29" t="s">
        <v>258</v>
      </c>
      <c r="G53" s="30" t="s">
        <v>259</v>
      </c>
      <c r="H53" s="31" t="s">
        <v>260</v>
      </c>
      <c r="I53" s="32" t="s">
        <v>64</v>
      </c>
      <c r="J53" s="32" t="s">
        <v>261</v>
      </c>
      <c r="K53" s="27">
        <v>28433</v>
      </c>
      <c r="L53" s="74">
        <f t="shared" ca="1" si="12"/>
        <v>16434</v>
      </c>
      <c r="M53" s="32" t="s">
        <v>66</v>
      </c>
      <c r="N53" s="32" t="s">
        <v>67</v>
      </c>
      <c r="O53" s="32" t="s">
        <v>68</v>
      </c>
      <c r="P53" s="32">
        <v>1</v>
      </c>
      <c r="Q53" s="32" t="s">
        <v>77</v>
      </c>
      <c r="R53" s="32">
        <v>4</v>
      </c>
      <c r="S53" s="33">
        <v>2310</v>
      </c>
      <c r="T53" s="34" t="s">
        <v>93</v>
      </c>
      <c r="U53" s="34" t="s">
        <v>88</v>
      </c>
      <c r="V53" s="35"/>
      <c r="W53" s="35"/>
      <c r="X53" s="34"/>
      <c r="Y53" s="34"/>
      <c r="Z53" s="34"/>
      <c r="AA53" s="32"/>
      <c r="AB53" s="36"/>
      <c r="AC53" s="31">
        <f t="shared" ca="1" si="0"/>
        <v>3170</v>
      </c>
      <c r="AD53" s="31">
        <f t="shared" si="1"/>
        <v>1</v>
      </c>
      <c r="AE53" s="31" t="str">
        <f t="shared" si="2"/>
        <v/>
      </c>
      <c r="AF53" s="31">
        <f t="shared" si="3"/>
        <v>1</v>
      </c>
      <c r="AG53" s="31">
        <f t="shared" si="4"/>
        <v>1</v>
      </c>
      <c r="AH53" s="37">
        <f t="shared" ca="1" si="33"/>
        <v>45.024657534246572</v>
      </c>
      <c r="AI53" s="31" t="str">
        <f t="shared" si="6"/>
        <v/>
      </c>
      <c r="AJ53" s="31">
        <f t="shared" si="13"/>
        <v>1</v>
      </c>
      <c r="AK53" s="31" t="str">
        <f t="shared" si="14"/>
        <v/>
      </c>
      <c r="AL53" s="31" t="str">
        <f t="shared" si="15"/>
        <v/>
      </c>
      <c r="AM53" s="31" t="str">
        <f t="shared" si="16"/>
        <v/>
      </c>
      <c r="AN53" s="31" t="str">
        <f t="shared" si="17"/>
        <v/>
      </c>
      <c r="AO53" s="31" t="str">
        <f t="shared" si="18"/>
        <v/>
      </c>
      <c r="AP53" s="31" t="str">
        <f t="shared" si="19"/>
        <v/>
      </c>
      <c r="AQ53" s="31">
        <f t="shared" si="20"/>
        <v>1</v>
      </c>
      <c r="AR53" s="37" t="str">
        <f t="shared" si="34"/>
        <v/>
      </c>
      <c r="AS53" s="37">
        <f t="shared" ca="1" si="22"/>
        <v>45.024657534246572</v>
      </c>
      <c r="AT53" s="31" t="str">
        <f t="shared" si="23"/>
        <v/>
      </c>
      <c r="AU53" s="31" t="str">
        <f t="shared" si="24"/>
        <v/>
      </c>
      <c r="AV53" s="31" t="str">
        <f t="shared" si="25"/>
        <v/>
      </c>
      <c r="AW53" s="31" t="str">
        <f t="shared" si="26"/>
        <v/>
      </c>
      <c r="AX53" s="31" t="str">
        <f t="shared" si="27"/>
        <v/>
      </c>
      <c r="AY53" s="31" t="str">
        <f t="shared" si="28"/>
        <v/>
      </c>
      <c r="AZ53" s="31" t="str">
        <f t="shared" si="29"/>
        <v/>
      </c>
      <c r="BA53" s="31" t="str">
        <f t="shared" si="30"/>
        <v/>
      </c>
      <c r="BB53" s="31" t="str">
        <f t="shared" ca="1" si="35"/>
        <v/>
      </c>
      <c r="BC53" s="31" t="str">
        <f t="shared" ca="1" si="36"/>
        <v/>
      </c>
      <c r="BD53" s="31" t="str">
        <f t="shared" ca="1" si="37"/>
        <v/>
      </c>
      <c r="BE53" s="31" t="str">
        <f t="shared" ca="1" si="38"/>
        <v/>
      </c>
    </row>
    <row r="54" spans="1:57" x14ac:dyDescent="0.3">
      <c r="A54" s="25">
        <v>47</v>
      </c>
      <c r="B54" s="60" t="s">
        <v>262</v>
      </c>
      <c r="C54" s="27">
        <v>42138</v>
      </c>
      <c r="D54" s="32"/>
      <c r="E54" s="28" t="str">
        <f t="shared" si="11"/>
        <v>Oui</v>
      </c>
      <c r="F54" s="29" t="s">
        <v>263</v>
      </c>
      <c r="G54" s="30" t="s">
        <v>264</v>
      </c>
      <c r="H54" s="31" t="s">
        <v>63</v>
      </c>
      <c r="I54" s="32" t="s">
        <v>64</v>
      </c>
      <c r="J54" s="32" t="s">
        <v>265</v>
      </c>
      <c r="K54" s="27">
        <v>29201</v>
      </c>
      <c r="L54" s="74">
        <f t="shared" ca="1" si="12"/>
        <v>15666</v>
      </c>
      <c r="M54" s="32" t="s">
        <v>66</v>
      </c>
      <c r="N54" s="32" t="s">
        <v>67</v>
      </c>
      <c r="O54" s="32" t="s">
        <v>68</v>
      </c>
      <c r="P54" s="32">
        <v>1</v>
      </c>
      <c r="Q54" s="32" t="s">
        <v>77</v>
      </c>
      <c r="R54" s="32">
        <v>3</v>
      </c>
      <c r="S54" s="33">
        <v>2560</v>
      </c>
      <c r="T54" s="34" t="s">
        <v>78</v>
      </c>
      <c r="U54" s="34" t="s">
        <v>79</v>
      </c>
      <c r="V54" s="35"/>
      <c r="W54" s="35"/>
      <c r="X54" s="34"/>
      <c r="Y54" s="34"/>
      <c r="Z54" s="34"/>
      <c r="AA54" s="32"/>
      <c r="AB54" s="36"/>
      <c r="AC54" s="31">
        <f t="shared" ca="1" si="0"/>
        <v>2729</v>
      </c>
      <c r="AD54" s="31">
        <f t="shared" si="1"/>
        <v>1</v>
      </c>
      <c r="AE54" s="31" t="str">
        <f t="shared" si="2"/>
        <v/>
      </c>
      <c r="AF54" s="31">
        <f t="shared" si="3"/>
        <v>1</v>
      </c>
      <c r="AG54" s="31">
        <f t="shared" si="4"/>
        <v>1</v>
      </c>
      <c r="AH54" s="37">
        <f t="shared" ca="1" si="33"/>
        <v>42.920547945205477</v>
      </c>
      <c r="AI54" s="31" t="str">
        <f t="shared" si="6"/>
        <v/>
      </c>
      <c r="AJ54" s="31">
        <f t="shared" si="13"/>
        <v>1</v>
      </c>
      <c r="AK54" s="31" t="str">
        <f t="shared" si="14"/>
        <v/>
      </c>
      <c r="AL54" s="31" t="str">
        <f t="shared" si="15"/>
        <v/>
      </c>
      <c r="AM54" s="31" t="str">
        <f t="shared" si="16"/>
        <v/>
      </c>
      <c r="AN54" s="31" t="str">
        <f t="shared" si="17"/>
        <v/>
      </c>
      <c r="AO54" s="31" t="str">
        <f t="shared" si="18"/>
        <v/>
      </c>
      <c r="AP54" s="31" t="str">
        <f t="shared" si="19"/>
        <v/>
      </c>
      <c r="AQ54" s="31">
        <f t="shared" si="20"/>
        <v>1</v>
      </c>
      <c r="AR54" s="37" t="str">
        <f t="shared" si="34"/>
        <v/>
      </c>
      <c r="AS54" s="37">
        <f t="shared" ca="1" si="22"/>
        <v>42.920547945205477</v>
      </c>
      <c r="AT54" s="31" t="str">
        <f t="shared" si="23"/>
        <v/>
      </c>
      <c r="AU54" s="31" t="str">
        <f t="shared" si="24"/>
        <v/>
      </c>
      <c r="AV54" s="31" t="str">
        <f t="shared" si="25"/>
        <v/>
      </c>
      <c r="AW54" s="31" t="str">
        <f t="shared" si="26"/>
        <v/>
      </c>
      <c r="AX54" s="31" t="str">
        <f t="shared" si="27"/>
        <v/>
      </c>
      <c r="AY54" s="31" t="str">
        <f t="shared" si="28"/>
        <v/>
      </c>
      <c r="AZ54" s="31" t="str">
        <f t="shared" si="29"/>
        <v/>
      </c>
      <c r="BA54" s="31" t="str">
        <f t="shared" si="30"/>
        <v/>
      </c>
      <c r="BB54" s="31" t="str">
        <f t="shared" ca="1" si="35"/>
        <v/>
      </c>
      <c r="BC54" s="31" t="str">
        <f t="shared" ca="1" si="36"/>
        <v/>
      </c>
      <c r="BD54" s="31" t="str">
        <f t="shared" ca="1" si="37"/>
        <v/>
      </c>
      <c r="BE54" s="31" t="str">
        <f t="shared" ca="1" si="38"/>
        <v/>
      </c>
    </row>
    <row r="55" spans="1:57" x14ac:dyDescent="0.3">
      <c r="A55" s="25">
        <v>48</v>
      </c>
      <c r="B55" s="60" t="s">
        <v>266</v>
      </c>
      <c r="C55" s="27">
        <v>43766</v>
      </c>
      <c r="D55" s="32"/>
      <c r="E55" s="28" t="str">
        <f t="shared" si="11"/>
        <v>Oui</v>
      </c>
      <c r="F55" s="29" t="s">
        <v>267</v>
      </c>
      <c r="G55" s="30" t="s">
        <v>268</v>
      </c>
      <c r="H55" s="31" t="s">
        <v>63</v>
      </c>
      <c r="I55" s="32" t="s">
        <v>84</v>
      </c>
      <c r="J55" s="32" t="s">
        <v>85</v>
      </c>
      <c r="K55" s="63">
        <v>32357</v>
      </c>
      <c r="L55" s="74">
        <f t="shared" ca="1" si="12"/>
        <v>12510</v>
      </c>
      <c r="M55" s="32" t="s">
        <v>66</v>
      </c>
      <c r="N55" s="32" t="s">
        <v>67</v>
      </c>
      <c r="O55" s="32" t="s">
        <v>68</v>
      </c>
      <c r="P55" s="32">
        <v>1</v>
      </c>
      <c r="Q55" s="32" t="s">
        <v>77</v>
      </c>
      <c r="R55" s="32">
        <v>3</v>
      </c>
      <c r="S55" s="33">
        <v>3941</v>
      </c>
      <c r="T55" s="34" t="s">
        <v>93</v>
      </c>
      <c r="U55" s="34" t="s">
        <v>100</v>
      </c>
      <c r="V55" s="35">
        <v>2366045</v>
      </c>
      <c r="W55" s="35">
        <v>2457812</v>
      </c>
      <c r="X55" s="34"/>
      <c r="Y55" s="34"/>
      <c r="Z55" s="34"/>
      <c r="AA55" s="32"/>
      <c r="AB55" s="36"/>
      <c r="AC55" s="31">
        <f t="shared" ca="1" si="0"/>
        <v>1101</v>
      </c>
      <c r="AD55" s="31">
        <f t="shared" si="1"/>
        <v>1</v>
      </c>
      <c r="AE55" s="31">
        <f t="shared" si="2"/>
        <v>1</v>
      </c>
      <c r="AF55" s="31" t="str">
        <f t="shared" si="3"/>
        <v/>
      </c>
      <c r="AG55" s="31">
        <f t="shared" si="4"/>
        <v>1</v>
      </c>
      <c r="AH55" s="37">
        <f t="shared" ca="1" si="33"/>
        <v>34.273972602739725</v>
      </c>
      <c r="AI55" s="31" t="str">
        <f t="shared" si="6"/>
        <v/>
      </c>
      <c r="AJ55" s="31">
        <f t="shared" si="13"/>
        <v>1</v>
      </c>
      <c r="AK55" s="31" t="str">
        <f t="shared" si="14"/>
        <v/>
      </c>
      <c r="AL55" s="31" t="str">
        <f t="shared" si="15"/>
        <v/>
      </c>
      <c r="AM55" s="31" t="str">
        <f t="shared" si="16"/>
        <v/>
      </c>
      <c r="AN55" s="31" t="str">
        <f t="shared" si="17"/>
        <v/>
      </c>
      <c r="AO55" s="31" t="str">
        <f t="shared" si="18"/>
        <v/>
      </c>
      <c r="AP55" s="31" t="str">
        <f t="shared" si="19"/>
        <v/>
      </c>
      <c r="AQ55" s="31">
        <f t="shared" si="20"/>
        <v>1</v>
      </c>
      <c r="AR55" s="37">
        <f t="shared" ca="1" si="34"/>
        <v>34.273972602739725</v>
      </c>
      <c r="AS55" s="37" t="str">
        <f t="shared" si="22"/>
        <v/>
      </c>
      <c r="AT55" s="31">
        <f t="shared" si="23"/>
        <v>1</v>
      </c>
      <c r="AU55" s="31" t="str">
        <f t="shared" si="24"/>
        <v/>
      </c>
      <c r="AV55" s="31" t="str">
        <f t="shared" si="25"/>
        <v/>
      </c>
      <c r="AW55" s="31" t="str">
        <f t="shared" si="26"/>
        <v/>
      </c>
      <c r="AX55" s="31" t="str">
        <f t="shared" si="27"/>
        <v/>
      </c>
      <c r="AY55" s="31" t="str">
        <f t="shared" si="28"/>
        <v/>
      </c>
      <c r="AZ55" s="31" t="str">
        <f t="shared" si="29"/>
        <v/>
      </c>
      <c r="BA55" s="31">
        <f t="shared" si="30"/>
        <v>1</v>
      </c>
      <c r="BB55" s="31" t="str">
        <f t="shared" ca="1" si="35"/>
        <v/>
      </c>
      <c r="BC55" s="31" t="str">
        <f t="shared" ca="1" si="36"/>
        <v/>
      </c>
      <c r="BD55" s="31" t="str">
        <f t="shared" ca="1" si="37"/>
        <v/>
      </c>
      <c r="BE55" s="31" t="str">
        <f t="shared" ca="1" si="38"/>
        <v/>
      </c>
    </row>
    <row r="56" spans="1:57" x14ac:dyDescent="0.3">
      <c r="A56" s="25">
        <v>49</v>
      </c>
      <c r="B56" s="64" t="s">
        <v>269</v>
      </c>
      <c r="C56" s="65">
        <v>44114</v>
      </c>
      <c r="D56" s="65">
        <v>44321</v>
      </c>
      <c r="E56" s="66" t="str">
        <f t="shared" si="11"/>
        <v>Non</v>
      </c>
      <c r="F56" s="67" t="s">
        <v>270</v>
      </c>
      <c r="G56" s="68" t="s">
        <v>271</v>
      </c>
      <c r="H56" s="68" t="s">
        <v>63</v>
      </c>
      <c r="I56" s="67" t="s">
        <v>84</v>
      </c>
      <c r="J56" s="67" t="s">
        <v>146</v>
      </c>
      <c r="K56" s="65">
        <v>34999</v>
      </c>
      <c r="L56" s="74"/>
      <c r="M56" s="67" t="s">
        <v>66</v>
      </c>
      <c r="N56" s="67" t="s">
        <v>86</v>
      </c>
      <c r="O56" s="69">
        <v>0.5</v>
      </c>
      <c r="P56" s="67">
        <v>0.5</v>
      </c>
      <c r="Q56" s="67" t="s">
        <v>77</v>
      </c>
      <c r="R56" s="67">
        <v>3</v>
      </c>
      <c r="S56" s="70">
        <v>1728</v>
      </c>
      <c r="T56" s="71" t="s">
        <v>93</v>
      </c>
      <c r="U56" s="71" t="s">
        <v>100</v>
      </c>
      <c r="V56" s="72">
        <v>189000</v>
      </c>
      <c r="W56" s="72">
        <v>565940</v>
      </c>
      <c r="X56" s="47"/>
      <c r="Y56" s="34"/>
      <c r="Z56" s="34"/>
      <c r="AA56" s="32" t="s">
        <v>134</v>
      </c>
      <c r="AB56" s="36"/>
      <c r="AC56" s="31">
        <f t="shared" si="0"/>
        <v>207</v>
      </c>
      <c r="AD56" s="31" t="str">
        <f t="shared" si="1"/>
        <v/>
      </c>
      <c r="AE56" s="31" t="str">
        <f t="shared" si="2"/>
        <v/>
      </c>
      <c r="AF56" s="31" t="str">
        <f t="shared" si="3"/>
        <v/>
      </c>
      <c r="AG56" s="31" t="str">
        <f t="shared" si="4"/>
        <v/>
      </c>
      <c r="AH56" s="37" t="str">
        <f t="shared" si="33"/>
        <v/>
      </c>
      <c r="AI56" s="31" t="str">
        <f t="shared" si="6"/>
        <v/>
      </c>
      <c r="AJ56" s="31" t="str">
        <f t="shared" si="13"/>
        <v/>
      </c>
      <c r="AK56" s="31" t="str">
        <f t="shared" si="14"/>
        <v/>
      </c>
      <c r="AL56" s="31" t="str">
        <f t="shared" si="15"/>
        <v/>
      </c>
      <c r="AM56" s="31" t="str">
        <f t="shared" si="16"/>
        <v/>
      </c>
      <c r="AN56" s="31" t="str">
        <f t="shared" si="17"/>
        <v/>
      </c>
      <c r="AO56" s="31" t="str">
        <f t="shared" si="18"/>
        <v/>
      </c>
      <c r="AP56" s="31" t="str">
        <f t="shared" si="19"/>
        <v/>
      </c>
      <c r="AQ56" s="31" t="str">
        <f t="shared" si="20"/>
        <v/>
      </c>
      <c r="AR56" s="37" t="str">
        <f t="shared" si="34"/>
        <v/>
      </c>
      <c r="AS56" s="37" t="str">
        <f t="shared" si="22"/>
        <v/>
      </c>
      <c r="AT56" s="31" t="str">
        <f t="shared" si="23"/>
        <v/>
      </c>
      <c r="AU56" s="31" t="str">
        <f t="shared" si="24"/>
        <v/>
      </c>
      <c r="AV56" s="31" t="str">
        <f t="shared" si="25"/>
        <v/>
      </c>
      <c r="AW56" s="31" t="str">
        <f t="shared" si="26"/>
        <v/>
      </c>
      <c r="AX56" s="31" t="str">
        <f t="shared" si="27"/>
        <v/>
      </c>
      <c r="AY56" s="31" t="str">
        <f t="shared" si="28"/>
        <v/>
      </c>
      <c r="AZ56" s="31" t="str">
        <f t="shared" si="29"/>
        <v/>
      </c>
      <c r="BA56" s="31" t="str">
        <f t="shared" si="30"/>
        <v/>
      </c>
      <c r="BB56" s="31" t="str">
        <f t="shared" ca="1" si="35"/>
        <v/>
      </c>
      <c r="BC56" s="31">
        <f t="shared" ca="1" si="36"/>
        <v>1</v>
      </c>
      <c r="BD56" s="31" t="str">
        <f t="shared" ca="1" si="37"/>
        <v/>
      </c>
      <c r="BE56" s="31" t="str">
        <f t="shared" ca="1" si="38"/>
        <v/>
      </c>
    </row>
    <row r="57" spans="1:57" x14ac:dyDescent="0.3">
      <c r="A57" s="25">
        <v>50</v>
      </c>
      <c r="B57" s="60" t="s">
        <v>272</v>
      </c>
      <c r="C57" s="27">
        <v>41701</v>
      </c>
      <c r="D57" s="32"/>
      <c r="E57" s="28" t="str">
        <f t="shared" si="11"/>
        <v>Oui</v>
      </c>
      <c r="F57" s="29" t="s">
        <v>273</v>
      </c>
      <c r="G57" s="30" t="s">
        <v>274</v>
      </c>
      <c r="H57" s="31" t="s">
        <v>63</v>
      </c>
      <c r="I57" s="32" t="s">
        <v>84</v>
      </c>
      <c r="J57" s="32" t="s">
        <v>275</v>
      </c>
      <c r="K57" s="27">
        <v>30864</v>
      </c>
      <c r="L57" s="74">
        <f t="shared" ca="1" si="12"/>
        <v>14003</v>
      </c>
      <c r="M57" s="32" t="s">
        <v>66</v>
      </c>
      <c r="N57" s="32" t="s">
        <v>67</v>
      </c>
      <c r="O57" s="32" t="s">
        <v>68</v>
      </c>
      <c r="P57" s="32">
        <v>1</v>
      </c>
      <c r="Q57" s="32" t="s">
        <v>92</v>
      </c>
      <c r="R57" s="32">
        <v>2</v>
      </c>
      <c r="S57" s="33">
        <v>3871</v>
      </c>
      <c r="T57" s="34" t="s">
        <v>303</v>
      </c>
      <c r="U57" s="34" t="s">
        <v>305</v>
      </c>
      <c r="V57" s="35"/>
      <c r="W57" s="35"/>
      <c r="X57" s="34" t="s">
        <v>130</v>
      </c>
      <c r="Y57" s="34">
        <v>4</v>
      </c>
      <c r="Z57" s="34"/>
      <c r="AA57" s="32"/>
      <c r="AB57" s="36"/>
      <c r="AC57" s="31">
        <f t="shared" ca="1" si="0"/>
        <v>3166</v>
      </c>
      <c r="AD57" s="31">
        <f t="shared" si="1"/>
        <v>1</v>
      </c>
      <c r="AE57" s="31">
        <f t="shared" si="2"/>
        <v>1</v>
      </c>
      <c r="AF57" s="31" t="str">
        <f t="shared" si="3"/>
        <v/>
      </c>
      <c r="AG57" s="31">
        <f t="shared" si="4"/>
        <v>1</v>
      </c>
      <c r="AH57" s="37">
        <f t="shared" ca="1" si="33"/>
        <v>38.364383561643834</v>
      </c>
      <c r="AI57" s="31" t="str">
        <f t="shared" si="6"/>
        <v/>
      </c>
      <c r="AJ57" s="31">
        <f t="shared" si="13"/>
        <v>1</v>
      </c>
      <c r="AK57" s="31" t="str">
        <f t="shared" si="14"/>
        <v/>
      </c>
      <c r="AL57" s="31" t="str">
        <f t="shared" si="15"/>
        <v/>
      </c>
      <c r="AM57" s="31" t="str">
        <f t="shared" si="16"/>
        <v/>
      </c>
      <c r="AN57" s="31" t="str">
        <f t="shared" si="17"/>
        <v/>
      </c>
      <c r="AO57" s="31" t="str">
        <f t="shared" si="18"/>
        <v/>
      </c>
      <c r="AP57" s="31">
        <f t="shared" si="19"/>
        <v>1</v>
      </c>
      <c r="AQ57" s="31" t="str">
        <f t="shared" si="20"/>
        <v/>
      </c>
      <c r="AR57" s="37">
        <f t="shared" ca="1" si="34"/>
        <v>38.364383561643834</v>
      </c>
      <c r="AS57" s="37" t="str">
        <f t="shared" si="22"/>
        <v/>
      </c>
      <c r="AT57" s="31">
        <f t="shared" si="23"/>
        <v>1</v>
      </c>
      <c r="AU57" s="31" t="str">
        <f t="shared" si="24"/>
        <v/>
      </c>
      <c r="AV57" s="31" t="str">
        <f t="shared" si="25"/>
        <v/>
      </c>
      <c r="AW57" s="31" t="str">
        <f t="shared" si="26"/>
        <v/>
      </c>
      <c r="AX57" s="31" t="str">
        <f t="shared" si="27"/>
        <v/>
      </c>
      <c r="AY57" s="31" t="str">
        <f t="shared" si="28"/>
        <v/>
      </c>
      <c r="AZ57" s="31">
        <f t="shared" si="29"/>
        <v>1</v>
      </c>
      <c r="BA57" s="31" t="str">
        <f t="shared" si="30"/>
        <v/>
      </c>
      <c r="BB57" s="31" t="str">
        <f t="shared" ca="1" si="35"/>
        <v/>
      </c>
      <c r="BC57" s="31" t="str">
        <f t="shared" ca="1" si="36"/>
        <v/>
      </c>
      <c r="BD57" s="31" t="str">
        <f t="shared" ca="1" si="37"/>
        <v/>
      </c>
      <c r="BE57" s="31" t="str">
        <f t="shared" ca="1" si="38"/>
        <v/>
      </c>
    </row>
    <row r="58" spans="1:57" x14ac:dyDescent="0.3">
      <c r="A58" s="75"/>
      <c r="B58" s="76"/>
      <c r="C58" s="63"/>
      <c r="D58" s="77"/>
      <c r="E58" s="78"/>
      <c r="F58" s="79"/>
      <c r="G58" s="87"/>
      <c r="H58" s="88"/>
      <c r="I58" s="89"/>
      <c r="J58" s="89"/>
      <c r="K58" s="63"/>
      <c r="L58" s="80"/>
      <c r="M58" s="77"/>
      <c r="N58" s="77"/>
      <c r="O58" s="77"/>
      <c r="P58" s="77"/>
      <c r="Q58" s="77"/>
      <c r="R58" s="77"/>
      <c r="S58" s="81"/>
      <c r="T58" s="82"/>
      <c r="U58" s="82"/>
      <c r="V58" s="104">
        <f t="shared" ref="V58:W58" si="39">SUM(V8:V57)</f>
        <v>16775080</v>
      </c>
      <c r="W58" s="105">
        <f t="shared" si="39"/>
        <v>15008405</v>
      </c>
      <c r="X58" s="82"/>
      <c r="Y58" s="82">
        <f>SUM(Y8:Y57)</f>
        <v>15</v>
      </c>
      <c r="Z58" s="82">
        <f>SUM(Z8:Z57)</f>
        <v>25</v>
      </c>
      <c r="AA58" s="77"/>
      <c r="AB58" s="83"/>
      <c r="AC58" s="84"/>
      <c r="AD58" s="84"/>
      <c r="AE58" s="84"/>
      <c r="AF58" s="84"/>
      <c r="AG58" s="84"/>
      <c r="AH58" s="85"/>
      <c r="AI58" s="84"/>
      <c r="AJ58" s="84"/>
      <c r="AK58" s="84"/>
      <c r="AL58" s="84"/>
      <c r="AM58" s="84"/>
      <c r="AN58" s="84"/>
      <c r="AO58" s="84"/>
      <c r="AP58" s="84"/>
      <c r="AQ58" s="84"/>
      <c r="AR58" s="85"/>
      <c r="AS58" s="85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</row>
    <row r="59" spans="1:57" x14ac:dyDescent="0.3">
      <c r="H59" s="31" t="s">
        <v>276</v>
      </c>
      <c r="I59" s="86">
        <v>19</v>
      </c>
      <c r="J59" s="4" t="s">
        <v>289</v>
      </c>
      <c r="L59" s="86" t="s">
        <v>23</v>
      </c>
      <c r="M59" s="86">
        <f>COUNTIF(M8:M57,"oui")</f>
        <v>4</v>
      </c>
      <c r="S59" s="96" t="s">
        <v>300</v>
      </c>
      <c r="T59" s="97">
        <f>COUNTIF($T$8:$T$57,"Ventes")</f>
        <v>16</v>
      </c>
    </row>
    <row r="60" spans="1:57" x14ac:dyDescent="0.3">
      <c r="H60" s="31" t="s">
        <v>277</v>
      </c>
      <c r="I60" s="86">
        <v>21</v>
      </c>
      <c r="J60" s="4" t="s">
        <v>290</v>
      </c>
      <c r="L60" s="86" t="s">
        <v>311</v>
      </c>
      <c r="M60" s="86">
        <f>COUNTIF(M8:M57,"Non")</f>
        <v>46</v>
      </c>
      <c r="Q60" s="93" t="s">
        <v>293</v>
      </c>
      <c r="R60" s="95">
        <f>COUNTIF(R8:R57,"1")</f>
        <v>6</v>
      </c>
      <c r="S60" s="96" t="s">
        <v>298</v>
      </c>
      <c r="T60" s="98">
        <f>COUNTIF($T$8:$T$57,"Production")</f>
        <v>14</v>
      </c>
      <c r="U60" s="99" t="s">
        <v>307</v>
      </c>
      <c r="V60" s="97">
        <v>15</v>
      </c>
    </row>
    <row r="61" spans="1:57" ht="28.8" x14ac:dyDescent="0.3">
      <c r="B61" s="106"/>
      <c r="C61" s="9" t="s">
        <v>318</v>
      </c>
      <c r="M61" s="101" t="s">
        <v>67</v>
      </c>
      <c r="N61" s="86">
        <f>COUNTIF($N$8:$N$57,"CDI")</f>
        <v>40</v>
      </c>
      <c r="O61" s="86" t="s">
        <v>308</v>
      </c>
      <c r="P61" s="86">
        <f>COUNTIF(P8:P57,"1")</f>
        <v>41</v>
      </c>
      <c r="Q61" s="100" t="s">
        <v>297</v>
      </c>
      <c r="R61" s="95">
        <f>COUNTIF($R$8:$R$57,"2")</f>
        <v>5</v>
      </c>
      <c r="S61" s="96" t="s">
        <v>299</v>
      </c>
      <c r="T61" s="98">
        <f>COUNTIF($T$8:$T$57,"Finances")</f>
        <v>6</v>
      </c>
      <c r="U61" s="99" t="s">
        <v>100</v>
      </c>
      <c r="V61" s="97">
        <f>COUNTIF($U$8:$U$57,"Commercial")</f>
        <v>11</v>
      </c>
    </row>
    <row r="62" spans="1:57" x14ac:dyDescent="0.3">
      <c r="I62" s="86"/>
      <c r="J62" s="86" t="s">
        <v>292</v>
      </c>
      <c r="K62" s="86" t="s">
        <v>291</v>
      </c>
      <c r="M62" s="93" t="s">
        <v>86</v>
      </c>
      <c r="N62" s="86">
        <f>COUNTIF($N$8:$N$57,"CDD")</f>
        <v>5</v>
      </c>
      <c r="O62" s="86" t="s">
        <v>309</v>
      </c>
      <c r="P62" s="86">
        <f>COUNTIF(P8:P57,"0,75")</f>
        <v>5</v>
      </c>
      <c r="Q62" s="93" t="s">
        <v>294</v>
      </c>
      <c r="R62" s="95">
        <f>COUNTIF($R$8:$R$57,"3")</f>
        <v>23</v>
      </c>
      <c r="S62" s="96" t="s">
        <v>301</v>
      </c>
      <c r="T62" s="98">
        <f>COUNTIF($T$8:$T$57,"RH")</f>
        <v>6</v>
      </c>
      <c r="U62" s="99" t="s">
        <v>149</v>
      </c>
      <c r="V62" s="97">
        <f>COUNTIF($U$8:$U$57,"Opérateur")</f>
        <v>10</v>
      </c>
    </row>
    <row r="63" spans="1:57" x14ac:dyDescent="0.3">
      <c r="I63" s="86" t="s">
        <v>283</v>
      </c>
      <c r="J63" s="86">
        <v>-2</v>
      </c>
      <c r="K63" s="86">
        <v>5</v>
      </c>
      <c r="M63" s="93" t="s">
        <v>99</v>
      </c>
      <c r="N63" s="86">
        <f>COUNTIF($N$8:$N$57,"Stage")</f>
        <v>1</v>
      </c>
      <c r="O63" s="86" t="s">
        <v>310</v>
      </c>
      <c r="P63" s="86">
        <f>COUNTIF(P8:P57,"0,5")</f>
        <v>4</v>
      </c>
      <c r="Q63" s="93" t="s">
        <v>296</v>
      </c>
      <c r="R63" s="95">
        <f>COUNTIF($R$8:$R$57,"4")</f>
        <v>11</v>
      </c>
      <c r="S63" s="96" t="s">
        <v>302</v>
      </c>
      <c r="T63" s="98">
        <f>COUNTIF($T$8:$T$57,"Communication")</f>
        <v>4</v>
      </c>
      <c r="U63" s="99" t="s">
        <v>94</v>
      </c>
      <c r="V63" s="97">
        <f>COUNTIF($U$8:$U$57,"Responsable")</f>
        <v>6</v>
      </c>
    </row>
    <row r="64" spans="1:57" x14ac:dyDescent="0.3">
      <c r="I64" s="86" t="s">
        <v>284</v>
      </c>
      <c r="J64" s="86">
        <v>-8</v>
      </c>
      <c r="K64" s="86">
        <v>7</v>
      </c>
      <c r="M64" s="93" t="s">
        <v>115</v>
      </c>
      <c r="N64" s="86">
        <f>COUNTIF($N$8:$N$57,"Apprentissage")</f>
        <v>4</v>
      </c>
      <c r="Q64" s="93" t="s">
        <v>295</v>
      </c>
      <c r="R64" s="95">
        <f>COUNTIF($R$8:$R$57,"5")</f>
        <v>5</v>
      </c>
      <c r="S64" s="96" t="s">
        <v>304</v>
      </c>
      <c r="T64" s="98">
        <f>COUNTIF($T$8:$T$57,"Marketing")</f>
        <v>4</v>
      </c>
      <c r="U64" s="99" t="s">
        <v>306</v>
      </c>
      <c r="V64" s="97">
        <f>COUNTIF($U$8:$U$57,"Assistant")</f>
        <v>4</v>
      </c>
    </row>
    <row r="65" spans="9:22" x14ac:dyDescent="0.3">
      <c r="I65" s="86" t="s">
        <v>285</v>
      </c>
      <c r="J65" s="86">
        <v>-5</v>
      </c>
      <c r="K65" s="86">
        <v>6</v>
      </c>
      <c r="R65" s="4">
        <f>SUM(R60:R64)</f>
        <v>50</v>
      </c>
      <c r="S65" s="90"/>
      <c r="U65" s="99" t="s">
        <v>110</v>
      </c>
      <c r="V65" s="97">
        <f>COUNTIF($U$8:$U$57,"Directeur")</f>
        <v>2</v>
      </c>
    </row>
    <row r="66" spans="9:22" x14ac:dyDescent="0.3">
      <c r="I66" s="86" t="s">
        <v>286</v>
      </c>
      <c r="J66" s="86">
        <v>-4</v>
      </c>
      <c r="K66" s="86">
        <v>2</v>
      </c>
      <c r="N66" s="4">
        <f>SUM(N61:N65)</f>
        <v>50</v>
      </c>
      <c r="T66" s="9">
        <f>SUM(T59:T65)</f>
        <v>50</v>
      </c>
      <c r="U66" s="99" t="s">
        <v>305</v>
      </c>
      <c r="V66" s="97">
        <f>COUNTIF($U$8:$U$57,"Controleur")</f>
        <v>1</v>
      </c>
    </row>
    <row r="67" spans="9:22" x14ac:dyDescent="0.3">
      <c r="I67" s="86" t="s">
        <v>287</v>
      </c>
      <c r="J67" s="86">
        <v>0</v>
      </c>
      <c r="K67" s="86">
        <v>1</v>
      </c>
      <c r="U67" s="99" t="s">
        <v>71</v>
      </c>
      <c r="V67" s="97">
        <f>COUNTIF($U$8:$U$57,"DAF")</f>
        <v>1</v>
      </c>
    </row>
    <row r="68" spans="9:22" x14ac:dyDescent="0.3">
      <c r="M68" s="86" t="s">
        <v>68</v>
      </c>
      <c r="N68" s="86">
        <v>41</v>
      </c>
      <c r="U68" s="92"/>
    </row>
    <row r="69" spans="9:22" x14ac:dyDescent="0.3">
      <c r="M69" s="94">
        <v>0.75</v>
      </c>
      <c r="N69" s="86">
        <f>COUNTIF($O$8:$O$57,"75%")</f>
        <v>5</v>
      </c>
      <c r="U69" s="92"/>
      <c r="V69" s="91">
        <f>SUM(V60:V68)</f>
        <v>50</v>
      </c>
    </row>
    <row r="70" spans="9:22" x14ac:dyDescent="0.3">
      <c r="M70" s="94">
        <v>0.5</v>
      </c>
      <c r="N70" s="86">
        <f>COUNTIF($O$8:$O$57,"50%")</f>
        <v>4</v>
      </c>
    </row>
    <row r="71" spans="9:22" x14ac:dyDescent="0.3">
      <c r="R71" s="112" t="s">
        <v>312</v>
      </c>
      <c r="S71" s="112"/>
    </row>
    <row r="73" spans="9:22" x14ac:dyDescent="0.3">
      <c r="R73" s="86" t="s">
        <v>313</v>
      </c>
      <c r="S73" s="102">
        <f>MAX(S8:S57)</f>
        <v>5341</v>
      </c>
    </row>
    <row r="74" spans="9:22" x14ac:dyDescent="0.3">
      <c r="R74" s="86" t="s">
        <v>314</v>
      </c>
      <c r="S74" s="102">
        <f>MIN(S8:S57)</f>
        <v>1450</v>
      </c>
    </row>
    <row r="75" spans="9:22" x14ac:dyDescent="0.3">
      <c r="R75" s="86" t="s">
        <v>315</v>
      </c>
      <c r="S75" s="103">
        <f>AVERAGE(S8:S57)</f>
        <v>2792.52</v>
      </c>
    </row>
    <row r="76" spans="9:22" x14ac:dyDescent="0.3">
      <c r="R76" s="86" t="s">
        <v>316</v>
      </c>
      <c r="S76" s="102">
        <f>MEDIAN(S8:S57)</f>
        <v>2330</v>
      </c>
    </row>
  </sheetData>
  <mergeCells count="1">
    <mergeCell ref="R71:S71"/>
  </mergeCells>
  <phoneticPr fontId="13" type="noConversion"/>
  <conditionalFormatting sqref="E8:E58">
    <cfRule type="cellIs" dxfId="0" priority="1" operator="equal">
      <formula>"Non"</formula>
    </cfRule>
  </conditionalFormatting>
  <dataValidations count="4">
    <dataValidation type="list" allowBlank="1" showInputMessage="1" showErrorMessage="1" sqref="M8:N58 Q8:Q58" xr:uid="{C1421062-A65A-487F-87AE-9FD5BCB792E0}">
      <formula1>#REF!</formula1>
    </dataValidation>
    <dataValidation type="decimal" allowBlank="1" showInputMessage="1" showErrorMessage="1" sqref="P8:P58" xr:uid="{4042F129-CAB1-4C8E-BC36-538D6DF90C10}">
      <formula1>0</formula1>
      <formula2>100</formula2>
    </dataValidation>
    <dataValidation type="date" allowBlank="1" showInputMessage="1" showErrorMessage="1" sqref="K16:K58 C8:D58 K8:K14 L8:L58" xr:uid="{CDB34A3D-D808-4E85-9ADF-93CC2796C95D}">
      <formula1>1</formula1>
      <formula2>2227981</formula2>
    </dataValidation>
    <dataValidation type="list" allowBlank="1" showInputMessage="1" showErrorMessage="1" sqref="I92:I1048576" xr:uid="{8EFB7A93-8605-41A6-8722-953A283BA011}">
      <mc:AlternateContent xmlns:x12ac="http://schemas.microsoft.com/office/spreadsheetml/2011/1/ac" xmlns:mc="http://schemas.openxmlformats.org/markup-compatibility/2006">
        <mc:Choice Requires="x12ac">
          <x12ac:list>"""F"",""M"""</x12ac:list>
        </mc:Choice>
        <mc:Fallback>
          <formula1>"""F"",""M"""</formula1>
        </mc:Fallback>
      </mc:AlternateContent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93400-924B-459D-B6BF-3E0BCA918922}">
  <sheetPr>
    <tabColor theme="5" tint="0.39997558519241921"/>
  </sheetPr>
  <dimension ref="A1:E35"/>
  <sheetViews>
    <sheetView showGridLines="0" workbookViewId="0">
      <selection activeCell="F24" sqref="F24"/>
    </sheetView>
  </sheetViews>
  <sheetFormatPr baseColWidth="10" defaultRowHeight="14.4" x14ac:dyDescent="0.3"/>
  <sheetData>
    <row r="1" spans="1:1" x14ac:dyDescent="0.3">
      <c r="A1" s="1" t="s">
        <v>0</v>
      </c>
    </row>
    <row r="2" spans="1:1" x14ac:dyDescent="0.3">
      <c r="A2" s="1" t="s">
        <v>1</v>
      </c>
    </row>
    <row r="3" spans="1:1" x14ac:dyDescent="0.3">
      <c r="A3" s="1"/>
    </row>
    <row r="4" spans="1:1" x14ac:dyDescent="0.3">
      <c r="A4" s="1"/>
    </row>
    <row r="5" spans="1:1" x14ac:dyDescent="0.3">
      <c r="A5" s="1"/>
    </row>
    <row r="6" spans="1:1" x14ac:dyDescent="0.3">
      <c r="A6" s="1"/>
    </row>
    <row r="7" spans="1:1" x14ac:dyDescent="0.3">
      <c r="A7" s="1"/>
    </row>
    <row r="31" spans="3:5" x14ac:dyDescent="0.3">
      <c r="C31" t="s">
        <v>278</v>
      </c>
      <c r="E31" s="73" t="s">
        <v>288</v>
      </c>
    </row>
    <row r="32" spans="3:5" x14ac:dyDescent="0.3">
      <c r="E32" s="4" t="s">
        <v>279</v>
      </c>
    </row>
    <row r="34" spans="3:5" x14ac:dyDescent="0.3">
      <c r="C34" t="s">
        <v>280</v>
      </c>
      <c r="E34" s="73" t="s">
        <v>281</v>
      </c>
    </row>
    <row r="35" spans="3:5" x14ac:dyDescent="0.3">
      <c r="E35" s="4" t="s">
        <v>279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0784E-3D2F-44CF-B63C-5A2319B3C6C1}">
  <sheetPr>
    <tabColor theme="5" tint="0.39997558519241921"/>
  </sheetPr>
  <dimension ref="A1"/>
  <sheetViews>
    <sheetView showGridLines="0" topLeftCell="A22" workbookViewId="0">
      <selection activeCell="N53" sqref="N53"/>
    </sheetView>
  </sheetViews>
  <sheetFormatPr baseColWidth="10" defaultRowHeight="14.4" x14ac:dyDescent="0.3"/>
  <cols>
    <col min="1" max="1" width="6.88671875" customWidth="1"/>
  </cols>
  <sheetData>
    <row r="1" spans="1:1" x14ac:dyDescent="0.3">
      <c r="A1" s="1" t="s">
        <v>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49D80-3988-4D9A-950A-5DF907A87AD7}">
  <sheetPr>
    <tabColor theme="5" tint="0.39997558519241921"/>
  </sheetPr>
  <dimension ref="A1"/>
  <sheetViews>
    <sheetView showGridLines="0" topLeftCell="A16" workbookViewId="0">
      <selection activeCell="Q28" sqref="Q28"/>
    </sheetView>
  </sheetViews>
  <sheetFormatPr baseColWidth="10" defaultRowHeight="14.4" x14ac:dyDescent="0.3"/>
  <sheetData>
    <row r="1" spans="1:1" x14ac:dyDescent="0.3">
      <c r="A1" s="1" t="s">
        <v>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EEC24-86D1-4210-BA35-37E7EBB49EFA}">
  <sheetPr>
    <tabColor theme="5" tint="0.39997558519241921"/>
  </sheetPr>
  <dimension ref="A1"/>
  <sheetViews>
    <sheetView showGridLines="0" workbookViewId="0">
      <selection activeCell="L23" sqref="L23"/>
    </sheetView>
  </sheetViews>
  <sheetFormatPr baseColWidth="10" defaultRowHeight="14.4" x14ac:dyDescent="0.3"/>
  <sheetData>
    <row r="1" spans="1:1" x14ac:dyDescent="0.3">
      <c r="A1" s="1" t="s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277B-B243-4870-B567-7DEDE56CCC2E}">
  <sheetPr>
    <tabColor theme="5" tint="0.39997558519241921"/>
  </sheetPr>
  <dimension ref="A1:A2"/>
  <sheetViews>
    <sheetView showGridLines="0" topLeftCell="D4" zoomScale="160" zoomScaleNormal="160" workbookViewId="0">
      <selection activeCell="J22" sqref="J22"/>
    </sheetView>
  </sheetViews>
  <sheetFormatPr baseColWidth="10" defaultRowHeight="14.4" x14ac:dyDescent="0.3"/>
  <sheetData>
    <row r="1" spans="1:1" x14ac:dyDescent="0.3">
      <c r="A1" s="1" t="s">
        <v>4</v>
      </c>
    </row>
    <row r="2" spans="1:1" x14ac:dyDescent="0.3">
      <c r="A2" s="1" t="s">
        <v>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FCFC6-87B7-4855-84AB-037EEA37F06E}">
  <sheetPr>
    <tabColor theme="9" tint="-0.249977111117893"/>
  </sheetPr>
  <dimension ref="A1:F12"/>
  <sheetViews>
    <sheetView showGridLines="0" topLeftCell="A3" workbookViewId="0">
      <selection activeCell="F12" sqref="A3:F12"/>
    </sheetView>
  </sheetViews>
  <sheetFormatPr baseColWidth="10" defaultRowHeight="14.4" x14ac:dyDescent="0.3"/>
  <cols>
    <col min="1" max="1" width="12.33203125" style="107" customWidth="1"/>
    <col min="2" max="2" width="12.44140625" style="107" customWidth="1"/>
    <col min="3" max="3" width="18.6640625" style="107" customWidth="1"/>
    <col min="4" max="4" width="18.5546875" style="107" customWidth="1"/>
    <col min="5" max="5" width="18" style="107" customWidth="1"/>
    <col min="6" max="6" width="17.33203125" style="107" customWidth="1"/>
    <col min="7" max="16384" width="11.5546875" style="107"/>
  </cols>
  <sheetData>
    <row r="1" spans="1:6" ht="16.2" x14ac:dyDescent="0.3">
      <c r="A1" s="107" t="s">
        <v>319</v>
      </c>
    </row>
    <row r="3" spans="1:6" ht="46.8" x14ac:dyDescent="0.3">
      <c r="A3" s="113" t="s">
        <v>17</v>
      </c>
      <c r="B3" s="113" t="s">
        <v>18</v>
      </c>
      <c r="C3" s="114" t="s">
        <v>320</v>
      </c>
      <c r="D3" s="114" t="s">
        <v>29</v>
      </c>
      <c r="E3" s="114" t="s">
        <v>317</v>
      </c>
      <c r="F3" s="115" t="s">
        <v>321</v>
      </c>
    </row>
    <row r="4" spans="1:6" ht="26.4" customHeight="1" x14ac:dyDescent="0.3">
      <c r="A4" s="111" t="s">
        <v>90</v>
      </c>
      <c r="B4" s="108" t="s">
        <v>91</v>
      </c>
      <c r="C4" s="109">
        <v>1573025</v>
      </c>
      <c r="D4" s="109">
        <v>3980</v>
      </c>
      <c r="E4" s="110">
        <f>C4*0.4%</f>
        <v>6292.1</v>
      </c>
      <c r="F4" s="122">
        <f>E4-D4</f>
        <v>2312.1000000000004</v>
      </c>
    </row>
    <row r="5" spans="1:6" ht="26.4" customHeight="1" x14ac:dyDescent="0.3">
      <c r="A5" s="116" t="s">
        <v>96</v>
      </c>
      <c r="B5" s="117" t="s">
        <v>97</v>
      </c>
      <c r="C5" s="118">
        <v>780264</v>
      </c>
      <c r="D5" s="118">
        <v>1450</v>
      </c>
      <c r="E5" s="110">
        <f>C5*0.4%</f>
        <v>3121.056</v>
      </c>
      <c r="F5" s="122">
        <f>E5-D5</f>
        <v>1671.056</v>
      </c>
    </row>
    <row r="6" spans="1:6" ht="26.4" customHeight="1" x14ac:dyDescent="0.3">
      <c r="A6" s="111" t="s">
        <v>165</v>
      </c>
      <c r="B6" s="108" t="s">
        <v>166</v>
      </c>
      <c r="C6" s="109">
        <v>1873025</v>
      </c>
      <c r="D6" s="109">
        <v>2045</v>
      </c>
      <c r="E6" s="110">
        <f>C6*0.4%</f>
        <v>7492.1</v>
      </c>
      <c r="F6" s="122">
        <f>E6-D6</f>
        <v>5447.1</v>
      </c>
    </row>
    <row r="7" spans="1:6" ht="26.4" customHeight="1" x14ac:dyDescent="0.3">
      <c r="A7" s="116" t="s">
        <v>184</v>
      </c>
      <c r="B7" s="117" t="s">
        <v>185</v>
      </c>
      <c r="C7" s="118">
        <v>1145348</v>
      </c>
      <c r="D7" s="118">
        <v>2014</v>
      </c>
      <c r="E7" s="110">
        <f>C7*0.4%</f>
        <v>4581.3919999999998</v>
      </c>
      <c r="F7" s="122">
        <f>E7-D7</f>
        <v>2567.3919999999998</v>
      </c>
    </row>
    <row r="8" spans="1:6" ht="26.4" customHeight="1" x14ac:dyDescent="0.3">
      <c r="A8" s="111" t="s">
        <v>228</v>
      </c>
      <c r="B8" s="108" t="s">
        <v>229</v>
      </c>
      <c r="C8" s="109">
        <v>1945623</v>
      </c>
      <c r="D8" s="109">
        <v>3789</v>
      </c>
      <c r="E8" s="110">
        <f>C8*0.4%</f>
        <v>7782.4920000000002</v>
      </c>
      <c r="F8" s="122">
        <f>E8-D8</f>
        <v>3993.4920000000002</v>
      </c>
    </row>
    <row r="9" spans="1:6" ht="26.4" customHeight="1" x14ac:dyDescent="0.3">
      <c r="A9" s="111" t="s">
        <v>245</v>
      </c>
      <c r="B9" s="108" t="s">
        <v>246</v>
      </c>
      <c r="C9" s="109">
        <v>2089245</v>
      </c>
      <c r="D9" s="109">
        <v>3897</v>
      </c>
      <c r="E9" s="110">
        <f>C9*0.4%</f>
        <v>8356.98</v>
      </c>
      <c r="F9" s="122">
        <f>E9-D9</f>
        <v>4459.9799999999996</v>
      </c>
    </row>
    <row r="10" spans="1:6" ht="26.4" customHeight="1" x14ac:dyDescent="0.3">
      <c r="A10" s="111" t="s">
        <v>254</v>
      </c>
      <c r="B10" s="108" t="s">
        <v>255</v>
      </c>
      <c r="C10" s="109">
        <v>2578123</v>
      </c>
      <c r="D10" s="109">
        <v>3824</v>
      </c>
      <c r="E10" s="110">
        <f>C10*0.4%</f>
        <v>10312.492</v>
      </c>
      <c r="F10" s="122">
        <f>E10-D10</f>
        <v>6488.4920000000002</v>
      </c>
    </row>
    <row r="11" spans="1:6" ht="26.4" customHeight="1" x14ac:dyDescent="0.3">
      <c r="A11" s="111" t="s">
        <v>267</v>
      </c>
      <c r="B11" s="108" t="s">
        <v>268</v>
      </c>
      <c r="C11" s="109">
        <v>2457812</v>
      </c>
      <c r="D11" s="109">
        <v>3941</v>
      </c>
      <c r="E11" s="110">
        <f>C11*0.4%</f>
        <v>9831.2479999999996</v>
      </c>
      <c r="F11" s="122">
        <f>E11-D11</f>
        <v>5890.2479999999996</v>
      </c>
    </row>
    <row r="12" spans="1:6" ht="26.4" customHeight="1" x14ac:dyDescent="0.3">
      <c r="A12" s="119" t="s">
        <v>270</v>
      </c>
      <c r="B12" s="120" t="s">
        <v>271</v>
      </c>
      <c r="C12" s="121">
        <v>565940</v>
      </c>
      <c r="D12" s="121">
        <v>1728</v>
      </c>
      <c r="E12" s="110">
        <f>C12*0.4%</f>
        <v>2263.7600000000002</v>
      </c>
      <c r="F12" s="122">
        <f>E12-D12</f>
        <v>535.76000000000022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tableau de bord</vt:lpstr>
      <vt:lpstr>Répartition H F</vt:lpstr>
      <vt:lpstr>Qualification Métiers Services</vt:lpstr>
      <vt:lpstr>Contrats  statuts</vt:lpstr>
      <vt:lpstr>accident du travail</vt:lpstr>
      <vt:lpstr>salaires CA</vt:lpstr>
      <vt:lpstr>comparaison prime 13ieme mois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LE BOURHIS</dc:creator>
  <cp:lastModifiedBy>fabienne mauri</cp:lastModifiedBy>
  <dcterms:created xsi:type="dcterms:W3CDTF">2022-04-05T13:14:52Z</dcterms:created>
  <dcterms:modified xsi:type="dcterms:W3CDTF">2022-11-02T14:08:01Z</dcterms:modified>
</cp:coreProperties>
</file>